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0" yWindow="495" windowWidth="25440" windowHeight="15840" activeTab="1"/>
  </bookViews>
  <sheets>
    <sheet name="Instructions" sheetId="4" r:id="rId1"/>
    <sheet name="Coach Card" sheetId="2" r:id="rId2"/>
    <sheet name="Print" sheetId="3" r:id="rId3"/>
    <sheet name="Data" sheetId="1" state="hidden" r:id="rId4"/>
  </sheets>
  <definedNames>
    <definedName name="AcroABonus">Data!$BK$309:$BK$327</definedName>
    <definedName name="AcroABonusX">Data!$BK$309:$BL$327</definedName>
    <definedName name="AcroADD1">Data!$BK$3:$BK$4</definedName>
    <definedName name="AcroADD2">Data!$BK$9:$BK$25</definedName>
    <definedName name="AcroADD2X">Data!$BL$9:$BL$25</definedName>
    <definedName name="AcroADD3">Data!$BK$59:$BK$67</definedName>
    <definedName name="AcroADD3X">Data!$BL$59:$BL$67</definedName>
    <definedName name="AcroADD4p1">Data!$BK$69:$BK$85</definedName>
    <definedName name="AcroADD4p1X">Data!$BL$69:$BL$85</definedName>
    <definedName name="AcroADD4p2">Data!$BK$85:$BK$102</definedName>
    <definedName name="AcroADD4p2X">Data!$BL$85:$BL$102</definedName>
    <definedName name="AcroADD5">Data!$BK$269:$BK$305</definedName>
    <definedName name="AcroADD5X">Data!$BL$269:$BL$305</definedName>
    <definedName name="AcroBBonus">Data!$BM$309:$BM$325</definedName>
    <definedName name="AcroBBonusX">Data!$BM$309:$BN$325</definedName>
    <definedName name="AcroBDD1">Data!$BM$3:$BM$4</definedName>
    <definedName name="AcroBDD2">Data!$BM$9:$BM$45</definedName>
    <definedName name="AcroBDD2X">Data!$BN$9:$BN$45</definedName>
    <definedName name="AcroBDD3">Data!$BM$69:$BM$120</definedName>
    <definedName name="AcroBDD3W">Data!$BX$69:$BX$120</definedName>
    <definedName name="AcroBDD3X">Data!$BY$69:$BY$120</definedName>
    <definedName name="AcroBDD4p1">Data!$BM$129:$BM$175</definedName>
    <definedName name="AcroBDD4p1X">Data!$BN$129:$BN$175</definedName>
    <definedName name="AcroBDD4p2">Data!$BM$176:$BM$223</definedName>
    <definedName name="AcroBDD4p2X">Data!$BN$176:$BN$223</definedName>
    <definedName name="AcroBDD5">Data!$BM$249:$BM$268</definedName>
    <definedName name="AcroBDD5X">Data!$BN$249:$BN$268</definedName>
    <definedName name="AcroCBonus">Data!$BO$309:$BO$327</definedName>
    <definedName name="AcroCBonusX">Data!$BO$309:$BP$327</definedName>
    <definedName name="AcroCDD1">Data!$BO$3:$BO$5</definedName>
    <definedName name="AcroCDD2">Data!$BO$9:$BO$58</definedName>
    <definedName name="AcroCDD2X">Data!$BP$9:$BP$58</definedName>
    <definedName name="AcroCDD3">Data!$BO$59:$BO$67</definedName>
    <definedName name="AcroCDD3X">Data!$BP$59:$BP$67</definedName>
    <definedName name="AcroCDD4p1">Data!$BO$69:$BO$131</definedName>
    <definedName name="AcroCDD4p1X">Data!$BP$69:$BP$131</definedName>
    <definedName name="AcroCDD4p2">Data!$BT$70:$BT$129</definedName>
    <definedName name="AcroCDD4p2X">Data!$BU$70:$BU$129</definedName>
    <definedName name="AcroCDD5">Data!$BO$249:$BO$256</definedName>
    <definedName name="AcroCDD5X">Data!$BP$249:$BP$256</definedName>
    <definedName name="AcroCDD6">Data!$BO$269:$BO$300</definedName>
    <definedName name="AcroCDD6X">Data!$BP$269:$BP$300</definedName>
    <definedName name="AcroPairDD">Data!$BF$3:$BF$50</definedName>
    <definedName name="AcroPairDDX">Data!$BF$3:$BG$50</definedName>
    <definedName name="AcroPBonus">Data!$BQ$309:$BQ$338</definedName>
    <definedName name="AcroPBonusX">Data!$BQ$309:$BR$338</definedName>
    <definedName name="AcroPDD1">Data!$BQ$3:$BQ$4</definedName>
    <definedName name="AcroPDD2">Data!$BQ$9:$BQ$35</definedName>
    <definedName name="AcroPDD2X">Data!$BR$9:$BR$35</definedName>
    <definedName name="AcroPDD3">Data!$BQ$69:$BQ$125</definedName>
    <definedName name="AcroPDD3X">Data!$BR$69:$BR$125</definedName>
    <definedName name="AcroPDD4p1">Data!$BQ$129:$BQ$188</definedName>
    <definedName name="AcroPDD4p1X">Data!$BR$129:$BR$188</definedName>
    <definedName name="AcroPDD4p2">Data!$BQ$189:$BQ$248</definedName>
    <definedName name="AcroPDD4p2X">Data!$BR$189:$BR$248</definedName>
    <definedName name="AcroPDD5">Data!$BQ$249:$BQ$260</definedName>
    <definedName name="AcroPDD5X">Data!$BR$249:$BR$260</definedName>
    <definedName name="BonusDD">Data!$Y$3:$Y$42</definedName>
    <definedName name="BonusDD2">Data!$Y$7:$Y$42</definedName>
    <definedName name="BonusDD2X">Data!$Z$7:$Z$42</definedName>
    <definedName name="BonusDD3">Data!$Y$10:$Y$42</definedName>
    <definedName name="BonusDD3X">Data!$Z$10:$Z$42</definedName>
    <definedName name="BonusDD4">Data!$Y$19:$Y$42</definedName>
    <definedName name="BonusDD4X">Data!$Z$19:$Z$42</definedName>
    <definedName name="BonusDDX">Data!$Y$3:$Z$42</definedName>
    <definedName name="HybridDD">Data!$W$3:$W$125</definedName>
    <definedName name="HybridDDX">Data!$W$3:$X$125</definedName>
    <definedName name="_xlnm.Print_Area" localSheetId="1">'Coach Card'!$A$1:$AG$68</definedName>
    <definedName name="_xlnm.Print_Area" localSheetId="2">Print!$A$1:$O$45</definedName>
    <definedName name="TreDD">Data!$AA$3:$AA$13</definedName>
    <definedName name="TreDDX">Data!$AA$3:$AB$13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57" i="2" l="1"/>
  <c r="AS59" i="2"/>
  <c r="AS61" i="2"/>
  <c r="AS63" i="2"/>
  <c r="AS65" i="2"/>
  <c r="AS67" i="2"/>
  <c r="D9" i="3"/>
  <c r="BW115" i="1"/>
  <c r="BX115" i="1" s="1"/>
  <c r="BW114" i="1"/>
  <c r="BX114" i="1" s="1"/>
  <c r="BW113" i="1"/>
  <c r="BX113" i="1" s="1"/>
  <c r="A4" i="3"/>
  <c r="BW71" i="1"/>
  <c r="BX71" i="1" s="1"/>
  <c r="BW72" i="1"/>
  <c r="BX72" i="1" s="1"/>
  <c r="BW73" i="1"/>
  <c r="BX73" i="1" s="1"/>
  <c r="BW74" i="1"/>
  <c r="BX74" i="1" s="1"/>
  <c r="BW75" i="1"/>
  <c r="BX75" i="1" s="1"/>
  <c r="BW76" i="1"/>
  <c r="BX76" i="1" s="1"/>
  <c r="BW77" i="1"/>
  <c r="BX77" i="1" s="1"/>
  <c r="BW78" i="1"/>
  <c r="BX78" i="1" s="1"/>
  <c r="BW79" i="1"/>
  <c r="BX79" i="1" s="1"/>
  <c r="BW80" i="1"/>
  <c r="BX80" i="1" s="1"/>
  <c r="BW81" i="1"/>
  <c r="BX81" i="1" s="1"/>
  <c r="BW82" i="1"/>
  <c r="BX82" i="1" s="1"/>
  <c r="BW83" i="1"/>
  <c r="BX83" i="1" s="1"/>
  <c r="BW84" i="1"/>
  <c r="BX84" i="1" s="1"/>
  <c r="BW85" i="1"/>
  <c r="BX85" i="1" s="1"/>
  <c r="BW86" i="1"/>
  <c r="BX86" i="1" s="1"/>
  <c r="BW87" i="1"/>
  <c r="BX87" i="1" s="1"/>
  <c r="BW88" i="1"/>
  <c r="BX88" i="1" s="1"/>
  <c r="BW89" i="1"/>
  <c r="BX89" i="1" s="1"/>
  <c r="BW90" i="1"/>
  <c r="BX90" i="1" s="1"/>
  <c r="BW91" i="1"/>
  <c r="BX91" i="1" s="1"/>
  <c r="BW92" i="1"/>
  <c r="BX92" i="1" s="1"/>
  <c r="BW93" i="1"/>
  <c r="BX93" i="1" s="1"/>
  <c r="BW94" i="1"/>
  <c r="BX94" i="1" s="1"/>
  <c r="BW95" i="1"/>
  <c r="BX95" i="1" s="1"/>
  <c r="BW96" i="1"/>
  <c r="BX96" i="1" s="1"/>
  <c r="BW97" i="1"/>
  <c r="BX97" i="1" s="1"/>
  <c r="BW98" i="1"/>
  <c r="BX98" i="1" s="1"/>
  <c r="BW99" i="1"/>
  <c r="BX99" i="1" s="1"/>
  <c r="BW100" i="1"/>
  <c r="BX100" i="1" s="1"/>
  <c r="BW101" i="1"/>
  <c r="BX101" i="1" s="1"/>
  <c r="BW102" i="1"/>
  <c r="BX102" i="1" s="1"/>
  <c r="BW103" i="1"/>
  <c r="BX103" i="1" s="1"/>
  <c r="BW104" i="1"/>
  <c r="BX104" i="1" s="1"/>
  <c r="BW105" i="1"/>
  <c r="BX105" i="1" s="1"/>
  <c r="BW106" i="1"/>
  <c r="BX106" i="1" s="1"/>
  <c r="BW107" i="1"/>
  <c r="BX107" i="1" s="1"/>
  <c r="BW108" i="1"/>
  <c r="BX108" i="1" s="1"/>
  <c r="BW109" i="1"/>
  <c r="BX109" i="1" s="1"/>
  <c r="BW110" i="1"/>
  <c r="BX110" i="1" s="1"/>
  <c r="BW111" i="1"/>
  <c r="BX111" i="1" s="1"/>
  <c r="BW112" i="1"/>
  <c r="BX112" i="1" s="1"/>
  <c r="BW70" i="1"/>
  <c r="BX70" i="1" s="1"/>
  <c r="H22" i="2"/>
  <c r="H24" i="2"/>
  <c r="H26" i="2"/>
  <c r="H28" i="2"/>
  <c r="H30" i="2"/>
  <c r="H32" i="2"/>
  <c r="H34" i="2"/>
  <c r="H36" i="2"/>
  <c r="H38" i="2"/>
  <c r="H40" i="2"/>
  <c r="H42" i="2"/>
  <c r="H44" i="2"/>
  <c r="H46" i="2"/>
  <c r="H48" i="2"/>
  <c r="H50" i="2"/>
  <c r="H52" i="2"/>
  <c r="H54" i="2"/>
  <c r="H56" i="2"/>
  <c r="H58" i="2"/>
  <c r="H60" i="2"/>
  <c r="H62" i="2"/>
  <c r="H64" i="2"/>
  <c r="H66" i="2"/>
  <c r="H68" i="2"/>
  <c r="K39" i="3"/>
  <c r="F39" i="3"/>
  <c r="CE69" i="2"/>
  <c r="A5" i="3" l="1"/>
  <c r="C42" i="3" s="1"/>
  <c r="K5" i="2"/>
  <c r="L5" i="2"/>
  <c r="E5" i="3" s="1"/>
  <c r="D42" i="3" l="1"/>
  <c r="K8" i="2"/>
  <c r="K7" i="2"/>
  <c r="BU21" i="2"/>
  <c r="BU25" i="2"/>
  <c r="BU27" i="2"/>
  <c r="BU29" i="2"/>
  <c r="BU31" i="2"/>
  <c r="BU33" i="2"/>
  <c r="BU35" i="2"/>
  <c r="BU37" i="2"/>
  <c r="BU39" i="2"/>
  <c r="BU41" i="2"/>
  <c r="BU43" i="2"/>
  <c r="BU45" i="2"/>
  <c r="BU47" i="2"/>
  <c r="BU49" i="2"/>
  <c r="BU51" i="2"/>
  <c r="BU53" i="2"/>
  <c r="BU55" i="2"/>
  <c r="BU57" i="2"/>
  <c r="BU59" i="2"/>
  <c r="BU61" i="2"/>
  <c r="BU63" i="2"/>
  <c r="BU65" i="2"/>
  <c r="BU67" i="2"/>
  <c r="BU1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E11" i="3"/>
  <c r="G8" i="2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15" i="3"/>
  <c r="L10" i="3"/>
  <c r="L9" i="3"/>
  <c r="L8" i="3"/>
  <c r="I10" i="3"/>
  <c r="I9" i="3"/>
  <c r="I8" i="3"/>
  <c r="G10" i="3"/>
  <c r="G9" i="3"/>
  <c r="G8" i="3"/>
  <c r="D10" i="3"/>
  <c r="D8" i="3"/>
  <c r="A9" i="3"/>
  <c r="D7" i="3"/>
  <c r="P5" i="2"/>
  <c r="G7" i="3" s="1"/>
  <c r="E12" i="3"/>
  <c r="E6" i="3"/>
  <c r="M7" i="2"/>
  <c r="AW69" i="2" l="1"/>
  <c r="BA69" i="2"/>
  <c r="AZ69" i="2"/>
  <c r="AY69" i="2"/>
  <c r="AX69" i="2"/>
  <c r="G37" i="2"/>
  <c r="C24" i="3" s="1"/>
  <c r="G45" i="2"/>
  <c r="C28" i="3" s="1"/>
  <c r="G49" i="2"/>
  <c r="C30" i="3" s="1"/>
  <c r="G53" i="2"/>
  <c r="C32" i="3" s="1"/>
  <c r="G55" i="2"/>
  <c r="C33" i="3" s="1"/>
  <c r="G57" i="2"/>
  <c r="C34" i="3" s="1"/>
  <c r="G59" i="2"/>
  <c r="C35" i="3" s="1"/>
  <c r="G61" i="2"/>
  <c r="C36" i="3" s="1"/>
  <c r="G63" i="2"/>
  <c r="C37" i="3" s="1"/>
  <c r="G65" i="2"/>
  <c r="C38" i="3" s="1"/>
  <c r="G67" i="2"/>
  <c r="G69" i="2"/>
  <c r="G19" i="2"/>
  <c r="C15" i="3" s="1"/>
  <c r="G21" i="2" l="1"/>
  <c r="C16" i="3" s="1"/>
  <c r="E22" i="2"/>
  <c r="E24" i="2"/>
  <c r="E26" i="2"/>
  <c r="E28" i="2"/>
  <c r="E30" i="2"/>
  <c r="E32" i="2"/>
  <c r="E34" i="2"/>
  <c r="E36" i="2"/>
  <c r="E38" i="2"/>
  <c r="E40" i="2"/>
  <c r="E42" i="2"/>
  <c r="E44" i="2"/>
  <c r="E46" i="2"/>
  <c r="E48" i="2"/>
  <c r="E50" i="2"/>
  <c r="E52" i="2"/>
  <c r="E54" i="2"/>
  <c r="E56" i="2"/>
  <c r="E58" i="2"/>
  <c r="E60" i="2"/>
  <c r="E62" i="2"/>
  <c r="E64" i="2"/>
  <c r="E66" i="2"/>
  <c r="E68" i="2"/>
  <c r="E20" i="2"/>
  <c r="AU19" i="2"/>
  <c r="F20" i="2" s="1"/>
  <c r="AU21" i="2"/>
  <c r="F22" i="2" s="1"/>
  <c r="AU23" i="2"/>
  <c r="F24" i="2" s="1"/>
  <c r="AU25" i="2"/>
  <c r="F26" i="2" s="1"/>
  <c r="AU27" i="2"/>
  <c r="F28" i="2" s="1"/>
  <c r="AU31" i="2"/>
  <c r="F32" i="2" s="1"/>
  <c r="AU33" i="2"/>
  <c r="F34" i="2" s="1"/>
  <c r="AU35" i="2"/>
  <c r="F36" i="2" s="1"/>
  <c r="AU37" i="2"/>
  <c r="F38" i="2" s="1"/>
  <c r="AU39" i="2"/>
  <c r="F40" i="2" s="1"/>
  <c r="AU41" i="2"/>
  <c r="F42" i="2" s="1"/>
  <c r="AU43" i="2"/>
  <c r="F44" i="2" s="1"/>
  <c r="AU45" i="2"/>
  <c r="F46" i="2" s="1"/>
  <c r="AU47" i="2"/>
  <c r="F48" i="2" s="1"/>
  <c r="AU49" i="2"/>
  <c r="F50" i="2" s="1"/>
  <c r="AU51" i="2"/>
  <c r="F52" i="2" s="1"/>
  <c r="AU53" i="2"/>
  <c r="F54" i="2" s="1"/>
  <c r="AU55" i="2"/>
  <c r="F56" i="2" s="1"/>
  <c r="AU57" i="2"/>
  <c r="F58" i="2" s="1"/>
  <c r="AU59" i="2"/>
  <c r="F60" i="2" s="1"/>
  <c r="AU61" i="2"/>
  <c r="F62" i="2" s="1"/>
  <c r="AU63" i="2"/>
  <c r="F64" i="2" s="1"/>
  <c r="AU65" i="2"/>
  <c r="F66" i="2" s="1"/>
  <c r="AU67" i="2"/>
  <c r="F68" i="2" s="1"/>
  <c r="AU29" i="2"/>
  <c r="F30" i="2" s="1"/>
  <c r="BT5" i="1"/>
  <c r="BT7" i="1"/>
  <c r="BT9" i="1"/>
  <c r="H20" i="2"/>
  <c r="BT3" i="1" s="1"/>
  <c r="AS6" i="2"/>
  <c r="I69" i="2"/>
  <c r="P66" i="2" l="1"/>
  <c r="AF66" i="2"/>
  <c r="L66" i="2" a="1"/>
  <c r="L66" i="2" s="1"/>
  <c r="AD66" i="2"/>
  <c r="O66" i="2"/>
  <c r="N66" i="2"/>
  <c r="AC66" i="2"/>
  <c r="AE66" i="2"/>
  <c r="AB66" i="2"/>
  <c r="W66" i="2"/>
  <c r="Y66" i="2"/>
  <c r="M66" i="2"/>
  <c r="V66" i="2"/>
  <c r="U66" i="2"/>
  <c r="T66" i="2"/>
  <c r="Q66" i="2"/>
  <c r="K66" i="2"/>
  <c r="AA66" i="2"/>
  <c r="S66" i="2"/>
  <c r="Z66" i="2"/>
  <c r="J66" i="2"/>
  <c r="X66" i="2"/>
  <c r="R66" i="2"/>
  <c r="P50" i="2"/>
  <c r="AD50" i="2"/>
  <c r="O50" i="2"/>
  <c r="AF50" i="2"/>
  <c r="L50" i="2" a="1"/>
  <c r="L50" i="2" s="1"/>
  <c r="AC50" i="2"/>
  <c r="AE50" i="2"/>
  <c r="AB50" i="2"/>
  <c r="N50" i="2"/>
  <c r="W50" i="2"/>
  <c r="Z50" i="2"/>
  <c r="M50" i="2"/>
  <c r="V50" i="2"/>
  <c r="U50" i="2"/>
  <c r="Q50" i="2"/>
  <c r="T50" i="2"/>
  <c r="K50" i="2"/>
  <c r="AA50" i="2"/>
  <c r="S50" i="2"/>
  <c r="R50" i="2"/>
  <c r="Y50" i="2"/>
  <c r="J50" i="2"/>
  <c r="X50" i="2"/>
  <c r="P34" i="2"/>
  <c r="AB34" i="2"/>
  <c r="AF34" i="2"/>
  <c r="L34" i="2" a="1"/>
  <c r="L34" i="2" s="1"/>
  <c r="AC34" i="2"/>
  <c r="AE34" i="2"/>
  <c r="AD34" i="2"/>
  <c r="O34" i="2"/>
  <c r="N34" i="2"/>
  <c r="W34" i="2"/>
  <c r="Y34" i="2"/>
  <c r="M34" i="2"/>
  <c r="V34" i="2"/>
  <c r="U34" i="2"/>
  <c r="T34" i="2"/>
  <c r="Z34" i="2"/>
  <c r="K34" i="2"/>
  <c r="AA34" i="2"/>
  <c r="S34" i="2"/>
  <c r="Q34" i="2"/>
  <c r="J34" i="2"/>
  <c r="X34" i="2"/>
  <c r="R34" i="2"/>
  <c r="N48" i="2"/>
  <c r="P48" i="2"/>
  <c r="L48" i="2" a="1"/>
  <c r="L48" i="2" s="1"/>
  <c r="AC48" i="2"/>
  <c r="AF48" i="2"/>
  <c r="O48" i="2"/>
  <c r="AB48" i="2"/>
  <c r="AE48" i="2"/>
  <c r="AD48" i="2"/>
  <c r="J48" i="2"/>
  <c r="Z48" i="2"/>
  <c r="R48" i="2"/>
  <c r="Y48" i="2"/>
  <c r="Q48" i="2"/>
  <c r="M48" i="2"/>
  <c r="X48" i="2"/>
  <c r="W48" i="2"/>
  <c r="V48" i="2"/>
  <c r="K48" i="2"/>
  <c r="AA48" i="2"/>
  <c r="S48" i="2"/>
  <c r="U48" i="2"/>
  <c r="T48" i="2"/>
  <c r="AE62" i="2"/>
  <c r="N62" i="2"/>
  <c r="L62" i="2" a="1"/>
  <c r="L62" i="2" s="1"/>
  <c r="AD62" i="2"/>
  <c r="AF62" i="2"/>
  <c r="P62" i="2"/>
  <c r="O62" i="2"/>
  <c r="AB62" i="2"/>
  <c r="AC62" i="2"/>
  <c r="U62" i="2"/>
  <c r="X62" i="2"/>
  <c r="K62" i="2"/>
  <c r="J62" i="2"/>
  <c r="T62" i="2"/>
  <c r="AA62" i="2"/>
  <c r="S62" i="2"/>
  <c r="M62" i="2"/>
  <c r="Z62" i="2"/>
  <c r="R62" i="2"/>
  <c r="Y62" i="2"/>
  <c r="Q62" i="2"/>
  <c r="V62" i="2"/>
  <c r="W62" i="2"/>
  <c r="AE46" i="2"/>
  <c r="N46" i="2"/>
  <c r="AD46" i="2"/>
  <c r="P46" i="2"/>
  <c r="L46" i="2" a="1"/>
  <c r="L46" i="2" s="1"/>
  <c r="AC46" i="2"/>
  <c r="AB46" i="2"/>
  <c r="O46" i="2"/>
  <c r="AF46" i="2"/>
  <c r="U46" i="2"/>
  <c r="X46" i="2"/>
  <c r="W46" i="2"/>
  <c r="J46" i="2"/>
  <c r="T46" i="2"/>
  <c r="AA46" i="2"/>
  <c r="S46" i="2"/>
  <c r="M46" i="2"/>
  <c r="Z46" i="2"/>
  <c r="R46" i="2"/>
  <c r="Y46" i="2"/>
  <c r="Q46" i="2"/>
  <c r="V46" i="2"/>
  <c r="K46" i="2"/>
  <c r="P32" i="2"/>
  <c r="N32" i="2"/>
  <c r="L32" i="2" a="1"/>
  <c r="L32" i="2" s="1"/>
  <c r="AC32" i="2"/>
  <c r="AF32" i="2"/>
  <c r="O32" i="2"/>
  <c r="AD32" i="2"/>
  <c r="AB32" i="2"/>
  <c r="AE32" i="2"/>
  <c r="Z32" i="2"/>
  <c r="R32" i="2"/>
  <c r="K32" i="2"/>
  <c r="Y32" i="2"/>
  <c r="Q32" i="2"/>
  <c r="M32" i="2"/>
  <c r="X32" i="2"/>
  <c r="W32" i="2"/>
  <c r="T32" i="2"/>
  <c r="V32" i="2"/>
  <c r="U32" i="2"/>
  <c r="AA32" i="2"/>
  <c r="S32" i="2"/>
  <c r="AC60" i="2"/>
  <c r="P60" i="2"/>
  <c r="AB60" i="2"/>
  <c r="N60" i="2"/>
  <c r="AF60" i="2"/>
  <c r="AE60" i="2"/>
  <c r="AD60" i="2"/>
  <c r="L60" i="2" a="1"/>
  <c r="L60" i="2" s="1"/>
  <c r="O60" i="2"/>
  <c r="X60" i="2"/>
  <c r="R60" i="2"/>
  <c r="W60" i="2"/>
  <c r="J60" i="2"/>
  <c r="V60" i="2"/>
  <c r="U60" i="2"/>
  <c r="M60" i="2"/>
  <c r="T60" i="2"/>
  <c r="AA60" i="2"/>
  <c r="Z60" i="2"/>
  <c r="K60" i="2"/>
  <c r="Y60" i="2"/>
  <c r="Q60" i="2"/>
  <c r="S60" i="2"/>
  <c r="AC44" i="2"/>
  <c r="AB44" i="2"/>
  <c r="N44" i="2"/>
  <c r="AF44" i="2"/>
  <c r="AE44" i="2"/>
  <c r="P44" i="2"/>
  <c r="AD44" i="2"/>
  <c r="L44" i="2" a="1"/>
  <c r="L44" i="2" s="1"/>
  <c r="O44" i="2"/>
  <c r="X44" i="2"/>
  <c r="W44" i="2"/>
  <c r="J44" i="2"/>
  <c r="V44" i="2"/>
  <c r="U44" i="2"/>
  <c r="AA44" i="2"/>
  <c r="R44" i="2"/>
  <c r="M44" i="2"/>
  <c r="T44" i="2"/>
  <c r="S44" i="2"/>
  <c r="Z44" i="2"/>
  <c r="K44" i="2"/>
  <c r="Y44" i="2"/>
  <c r="Q44" i="2"/>
  <c r="P64" i="2"/>
  <c r="L64" i="2" a="1"/>
  <c r="L64" i="2" s="1"/>
  <c r="AC64" i="2"/>
  <c r="AF64" i="2"/>
  <c r="O64" i="2"/>
  <c r="N64" i="2"/>
  <c r="AB64" i="2"/>
  <c r="AE64" i="2"/>
  <c r="AD64" i="2"/>
  <c r="J64" i="2"/>
  <c r="Z64" i="2"/>
  <c r="R64" i="2"/>
  <c r="K64" i="2"/>
  <c r="Y64" i="2"/>
  <c r="Q64" i="2"/>
  <c r="M64" i="2"/>
  <c r="X64" i="2"/>
  <c r="W64" i="2"/>
  <c r="U64" i="2"/>
  <c r="V64" i="2"/>
  <c r="T64" i="2"/>
  <c r="AA64" i="2"/>
  <c r="S64" i="2"/>
  <c r="AC58" i="2"/>
  <c r="N58" i="2"/>
  <c r="AB58" i="2"/>
  <c r="P58" i="2"/>
  <c r="AE58" i="2"/>
  <c r="AD58" i="2"/>
  <c r="AF58" i="2"/>
  <c r="L58" i="2" a="1"/>
  <c r="L58" i="2" s="1"/>
  <c r="O58" i="2"/>
  <c r="K58" i="2"/>
  <c r="AA58" i="2"/>
  <c r="S58" i="2"/>
  <c r="Z58" i="2"/>
  <c r="R58" i="2"/>
  <c r="Y58" i="2"/>
  <c r="Q58" i="2"/>
  <c r="J58" i="2"/>
  <c r="X58" i="2"/>
  <c r="M58" i="2"/>
  <c r="V58" i="2"/>
  <c r="U58" i="2"/>
  <c r="W58" i="2"/>
  <c r="T58" i="2"/>
  <c r="AD42" i="2"/>
  <c r="O42" i="2"/>
  <c r="AC42" i="2"/>
  <c r="N42" i="2"/>
  <c r="AB42" i="2"/>
  <c r="P42" i="2"/>
  <c r="AF42" i="2"/>
  <c r="L42" i="2" a="1"/>
  <c r="L42" i="2" s="1"/>
  <c r="AE42" i="2"/>
  <c r="K42" i="2"/>
  <c r="AA42" i="2"/>
  <c r="S42" i="2"/>
  <c r="U42" i="2"/>
  <c r="Z42" i="2"/>
  <c r="R42" i="2"/>
  <c r="Y42" i="2"/>
  <c r="Q42" i="2"/>
  <c r="J42" i="2"/>
  <c r="X42" i="2"/>
  <c r="W42" i="2"/>
  <c r="T42" i="2"/>
  <c r="M42" i="2"/>
  <c r="V42" i="2"/>
  <c r="AF56" i="2"/>
  <c r="O56" i="2"/>
  <c r="N56" i="2"/>
  <c r="AE56" i="2"/>
  <c r="AD56" i="2"/>
  <c r="L56" i="2" a="1"/>
  <c r="L56" i="2" s="1"/>
  <c r="AC56" i="2"/>
  <c r="AB56" i="2"/>
  <c r="P56" i="2"/>
  <c r="V56" i="2"/>
  <c r="Y56" i="2"/>
  <c r="K56" i="2"/>
  <c r="U56" i="2"/>
  <c r="T56" i="2"/>
  <c r="AA56" i="2"/>
  <c r="S56" i="2"/>
  <c r="M56" i="2"/>
  <c r="J56" i="2"/>
  <c r="Z56" i="2"/>
  <c r="R56" i="2"/>
  <c r="Q56" i="2"/>
  <c r="X56" i="2"/>
  <c r="W56" i="2"/>
  <c r="AF40" i="2"/>
  <c r="O40" i="2"/>
  <c r="L40" i="2" a="1"/>
  <c r="L40" i="2" s="1"/>
  <c r="AE40" i="2"/>
  <c r="N40" i="2"/>
  <c r="AD40" i="2"/>
  <c r="AC40" i="2"/>
  <c r="AB40" i="2"/>
  <c r="P40" i="2"/>
  <c r="V40" i="2"/>
  <c r="Y40" i="2"/>
  <c r="K40" i="2"/>
  <c r="U40" i="2"/>
  <c r="T40" i="2"/>
  <c r="AA40" i="2"/>
  <c r="S40" i="2"/>
  <c r="Q40" i="2"/>
  <c r="J40" i="2"/>
  <c r="Z40" i="2"/>
  <c r="R40" i="2"/>
  <c r="M40" i="2"/>
  <c r="W40" i="2"/>
  <c r="X40" i="2"/>
  <c r="O54" i="2"/>
  <c r="AF54" i="2"/>
  <c r="AB54" i="2"/>
  <c r="AE54" i="2"/>
  <c r="N54" i="2"/>
  <c r="AD54" i="2"/>
  <c r="AC54" i="2"/>
  <c r="P54" i="2"/>
  <c r="L54" i="2" a="1"/>
  <c r="L54" i="2" s="1"/>
  <c r="Y54" i="2"/>
  <c r="Q54" i="2"/>
  <c r="S54" i="2"/>
  <c r="X54" i="2"/>
  <c r="K54" i="2"/>
  <c r="W54" i="2"/>
  <c r="V54" i="2"/>
  <c r="U54" i="2"/>
  <c r="M54" i="2"/>
  <c r="Z54" i="2"/>
  <c r="R54" i="2"/>
  <c r="J54" i="2"/>
  <c r="T54" i="2"/>
  <c r="AA54" i="2"/>
  <c r="O38" i="2"/>
  <c r="AF38" i="2"/>
  <c r="AB38" i="2"/>
  <c r="L38" i="2" a="1"/>
  <c r="L38" i="2" s="1"/>
  <c r="AE38" i="2"/>
  <c r="N38" i="2"/>
  <c r="AD38" i="2"/>
  <c r="AC38" i="2"/>
  <c r="P38" i="2"/>
  <c r="Y38" i="2"/>
  <c r="Q38" i="2"/>
  <c r="X38" i="2"/>
  <c r="K38" i="2"/>
  <c r="W38" i="2"/>
  <c r="V38" i="2"/>
  <c r="S38" i="2"/>
  <c r="U38" i="2"/>
  <c r="T38" i="2"/>
  <c r="AA38" i="2"/>
  <c r="M38" i="2"/>
  <c r="Z38" i="2"/>
  <c r="R38" i="2"/>
  <c r="J38" i="2"/>
  <c r="AC68" i="2"/>
  <c r="AD68" i="2"/>
  <c r="L68" i="2" a="1"/>
  <c r="L68" i="2" s="1"/>
  <c r="AE68" i="2"/>
  <c r="AB68" i="2"/>
  <c r="O68" i="2"/>
  <c r="AF68" i="2"/>
  <c r="P68" i="2"/>
  <c r="N68" i="2"/>
  <c r="M68" i="2"/>
  <c r="T68" i="2"/>
  <c r="W68" i="2"/>
  <c r="AA68" i="2"/>
  <c r="S68" i="2"/>
  <c r="Z68" i="2"/>
  <c r="R68" i="2"/>
  <c r="K68" i="2"/>
  <c r="Y68" i="2"/>
  <c r="Q68" i="2"/>
  <c r="X68" i="2"/>
  <c r="J68" i="2"/>
  <c r="V68" i="2"/>
  <c r="U68" i="2"/>
  <c r="AC52" i="2"/>
  <c r="AD52" i="2"/>
  <c r="L52" i="2" a="1"/>
  <c r="L52" i="2" s="1"/>
  <c r="P52" i="2"/>
  <c r="AB52" i="2"/>
  <c r="O52" i="2"/>
  <c r="AE52" i="2"/>
  <c r="N52" i="2"/>
  <c r="AF52" i="2"/>
  <c r="M52" i="2"/>
  <c r="T52" i="2"/>
  <c r="AA52" i="2"/>
  <c r="S52" i="2"/>
  <c r="Z52" i="2"/>
  <c r="R52" i="2"/>
  <c r="K52" i="2"/>
  <c r="Y52" i="2"/>
  <c r="Q52" i="2"/>
  <c r="W52" i="2"/>
  <c r="V52" i="2"/>
  <c r="X52" i="2"/>
  <c r="J52" i="2"/>
  <c r="U52" i="2"/>
  <c r="AC36" i="2"/>
  <c r="AD36" i="2"/>
  <c r="L36" i="2" a="1"/>
  <c r="L36" i="2" s="1"/>
  <c r="AB36" i="2"/>
  <c r="AE36" i="2"/>
  <c r="O36" i="2"/>
  <c r="P36" i="2"/>
  <c r="AF36" i="2"/>
  <c r="N36" i="2"/>
  <c r="M36" i="2"/>
  <c r="T36" i="2"/>
  <c r="W36" i="2"/>
  <c r="AA36" i="2"/>
  <c r="S36" i="2"/>
  <c r="Z36" i="2"/>
  <c r="R36" i="2"/>
  <c r="K36" i="2"/>
  <c r="Y36" i="2"/>
  <c r="Q36" i="2"/>
  <c r="J36" i="2"/>
  <c r="X36" i="2"/>
  <c r="U36" i="2"/>
  <c r="V36" i="2"/>
  <c r="L20" i="2" a="1"/>
  <c r="L20" i="2" s="1"/>
  <c r="AF20" i="2"/>
  <c r="AB20" i="2"/>
  <c r="P20" i="2"/>
  <c r="N20" i="2"/>
  <c r="AC20" i="2"/>
  <c r="AE20" i="2"/>
  <c r="AD20" i="2"/>
  <c r="O20" i="2"/>
  <c r="M20" i="2"/>
  <c r="K20" i="2"/>
  <c r="AE22" i="2"/>
  <c r="P22" i="2"/>
  <c r="AB22" i="2"/>
  <c r="AD22" i="2"/>
  <c r="O22" i="2"/>
  <c r="AF22" i="2"/>
  <c r="AC22" i="2"/>
  <c r="N22" i="2"/>
  <c r="L22" i="2" a="1"/>
  <c r="L22" i="2" s="1"/>
  <c r="K22" i="2"/>
  <c r="M22" i="2"/>
  <c r="AE26" i="2"/>
  <c r="N26" i="2"/>
  <c r="L26" i="2"/>
  <c r="AD26" i="2"/>
  <c r="O26" i="2"/>
  <c r="AB26" i="2"/>
  <c r="AC26" i="2"/>
  <c r="P26" i="2"/>
  <c r="AF26" i="2"/>
  <c r="AB28" i="2"/>
  <c r="N28" i="2"/>
  <c r="L28" i="2" a="1"/>
  <c r="L28" i="2" s="1"/>
  <c r="AF28" i="2"/>
  <c r="AC28" i="2"/>
  <c r="AE28" i="2"/>
  <c r="AD28" i="2"/>
  <c r="P28" i="2"/>
  <c r="O28" i="2"/>
  <c r="M28" i="2"/>
  <c r="K28" i="2"/>
  <c r="X28" i="2"/>
  <c r="T28" i="2"/>
  <c r="AA28" i="2"/>
  <c r="W28" i="2"/>
  <c r="S28" i="2"/>
  <c r="U28" i="2"/>
  <c r="Z28" i="2"/>
  <c r="V28" i="2"/>
  <c r="R28" i="2"/>
  <c r="Y28" i="2"/>
  <c r="Q28" i="2"/>
  <c r="Z26" i="2"/>
  <c r="V26" i="2"/>
  <c r="R26" i="2"/>
  <c r="K26" i="2"/>
  <c r="AA26" i="2"/>
  <c r="W26" i="2"/>
  <c r="S26" i="2"/>
  <c r="M26" i="2"/>
  <c r="Y26" i="2"/>
  <c r="U26" i="2"/>
  <c r="Q26" i="2"/>
  <c r="X26" i="2"/>
  <c r="T26" i="2"/>
  <c r="Z20" i="2"/>
  <c r="V20" i="2"/>
  <c r="R20" i="2"/>
  <c r="Y20" i="2"/>
  <c r="U20" i="2"/>
  <c r="Q20" i="2"/>
  <c r="AA20" i="2"/>
  <c r="S20" i="2"/>
  <c r="X20" i="2"/>
  <c r="T20" i="2"/>
  <c r="W20" i="2"/>
  <c r="H63" i="2"/>
  <c r="E37" i="3" s="1"/>
  <c r="K37" i="3" s="1"/>
  <c r="CE63" i="2"/>
  <c r="H61" i="2"/>
  <c r="E36" i="3" s="1"/>
  <c r="K36" i="3" s="1"/>
  <c r="CE61" i="2"/>
  <c r="CE59" i="2"/>
  <c r="H59" i="2"/>
  <c r="E35" i="3" s="1"/>
  <c r="K35" i="3" s="1"/>
  <c r="H57" i="2"/>
  <c r="CE57" i="2"/>
  <c r="H55" i="2"/>
  <c r="E33" i="3" s="1"/>
  <c r="K33" i="3" s="1"/>
  <c r="CE55" i="2"/>
  <c r="CE67" i="2"/>
  <c r="H67" i="2"/>
  <c r="H53" i="2"/>
  <c r="CE53" i="2"/>
  <c r="CE65" i="2"/>
  <c r="H65" i="2"/>
  <c r="E38" i="3" s="1"/>
  <c r="K38" i="3" s="1"/>
  <c r="H51" i="2"/>
  <c r="E31" i="3" s="1"/>
  <c r="K31" i="3" s="1"/>
  <c r="CE51" i="2"/>
  <c r="H49" i="2"/>
  <c r="E30" i="3" s="1"/>
  <c r="K30" i="3" s="1"/>
  <c r="CE49" i="2"/>
  <c r="H47" i="2"/>
  <c r="E29" i="3" s="1"/>
  <c r="K29" i="3" s="1"/>
  <c r="CE47" i="2"/>
  <c r="H45" i="2"/>
  <c r="E28" i="3" s="1"/>
  <c r="K28" i="3" s="1"/>
  <c r="CE45" i="2"/>
  <c r="H43" i="2"/>
  <c r="E27" i="3" s="1"/>
  <c r="K27" i="3" s="1"/>
  <c r="CE43" i="2"/>
  <c r="CE41" i="2"/>
  <c r="H41" i="2"/>
  <c r="E26" i="3" s="1"/>
  <c r="K26" i="3" s="1"/>
  <c r="H39" i="2"/>
  <c r="E25" i="3" s="1"/>
  <c r="K25" i="3" s="1"/>
  <c r="CE39" i="2"/>
  <c r="H37" i="2"/>
  <c r="E24" i="3" s="1"/>
  <c r="K24" i="3" s="1"/>
  <c r="CE37" i="2"/>
  <c r="H35" i="2"/>
  <c r="E23" i="3" s="1"/>
  <c r="K23" i="3" s="1"/>
  <c r="CE35" i="2"/>
  <c r="H33" i="2"/>
  <c r="E22" i="3" s="1"/>
  <c r="K22" i="3" s="1"/>
  <c r="CE33" i="2"/>
  <c r="H31" i="2"/>
  <c r="E21" i="3" s="1"/>
  <c r="K21" i="3" s="1"/>
  <c r="CE31" i="2"/>
  <c r="H29" i="2"/>
  <c r="E20" i="3" s="1"/>
  <c r="K20" i="3" s="1"/>
  <c r="CE29" i="2"/>
  <c r="CE27" i="2"/>
  <c r="H27" i="2"/>
  <c r="E19" i="3" s="1"/>
  <c r="K19" i="3" s="1"/>
  <c r="H19" i="2"/>
  <c r="E15" i="3" s="1"/>
  <c r="CE19" i="2"/>
  <c r="CE21" i="2"/>
  <c r="H21" i="2"/>
  <c r="E16" i="3" s="1"/>
  <c r="K16" i="3" s="1"/>
  <c r="CE23" i="2"/>
  <c r="H23" i="2"/>
  <c r="E17" i="3" s="1"/>
  <c r="K17" i="3" s="1"/>
  <c r="H25" i="2"/>
  <c r="E18" i="3" s="1"/>
  <c r="K18" i="3" s="1"/>
  <c r="CE25" i="2"/>
  <c r="CC19" i="2"/>
  <c r="BY19" i="2"/>
  <c r="BZ19" i="2"/>
  <c r="CB19" i="2"/>
  <c r="CA19" i="2"/>
  <c r="BY49" i="2"/>
  <c r="BZ49" i="2"/>
  <c r="CA49" i="2"/>
  <c r="CB49" i="2"/>
  <c r="CC49" i="2"/>
  <c r="BY55" i="2"/>
  <c r="CC55" i="2"/>
  <c r="BZ55" i="2"/>
  <c r="CA55" i="2"/>
  <c r="CB55" i="2"/>
  <c r="BY39" i="2"/>
  <c r="CA39" i="2"/>
  <c r="CB39" i="2"/>
  <c r="CC39" i="2"/>
  <c r="BZ39" i="2"/>
  <c r="BZ43" i="2"/>
  <c r="CA43" i="2"/>
  <c r="CB43" i="2"/>
  <c r="CC43" i="2"/>
  <c r="BY43" i="2"/>
  <c r="BY41" i="2"/>
  <c r="BZ41" i="2"/>
  <c r="CA41" i="2"/>
  <c r="CC41" i="2"/>
  <c r="CB41" i="2"/>
  <c r="CC53" i="2"/>
  <c r="BY53" i="2"/>
  <c r="CA53" i="2"/>
  <c r="BZ53" i="2"/>
  <c r="CB53" i="2"/>
  <c r="CB37" i="2"/>
  <c r="CC37" i="2"/>
  <c r="BY37" i="2"/>
  <c r="CA37" i="2"/>
  <c r="BZ37" i="2"/>
  <c r="BY65" i="2"/>
  <c r="BZ65" i="2"/>
  <c r="CA65" i="2"/>
  <c r="CC65" i="2"/>
  <c r="CB65" i="2"/>
  <c r="BY33" i="2"/>
  <c r="BZ33" i="2"/>
  <c r="CA33" i="2"/>
  <c r="CB33" i="2"/>
  <c r="CC33" i="2"/>
  <c r="BY63" i="2"/>
  <c r="CB63" i="2"/>
  <c r="CC63" i="2"/>
  <c r="BZ63" i="2"/>
  <c r="CA63" i="2"/>
  <c r="BY47" i="2"/>
  <c r="CC47" i="2"/>
  <c r="BZ47" i="2"/>
  <c r="CB47" i="2"/>
  <c r="CA47" i="2"/>
  <c r="BY31" i="2"/>
  <c r="BZ31" i="2"/>
  <c r="CA31" i="2"/>
  <c r="CB31" i="2"/>
  <c r="CC31" i="2"/>
  <c r="CC61" i="2"/>
  <c r="BZ61" i="2"/>
  <c r="BY61" i="2"/>
  <c r="CA61" i="2"/>
  <c r="CB61" i="2"/>
  <c r="CB45" i="2"/>
  <c r="CC45" i="2"/>
  <c r="BY45" i="2"/>
  <c r="BZ45" i="2"/>
  <c r="CA45" i="2"/>
  <c r="CB29" i="2"/>
  <c r="CC29" i="2"/>
  <c r="BY29" i="2"/>
  <c r="BZ29" i="2"/>
  <c r="CA29" i="2"/>
  <c r="CA59" i="2"/>
  <c r="CB59" i="2"/>
  <c r="BY59" i="2"/>
  <c r="BZ59" i="2"/>
  <c r="CC59" i="2"/>
  <c r="BY57" i="2"/>
  <c r="BZ57" i="2"/>
  <c r="CA57" i="2"/>
  <c r="CB57" i="2"/>
  <c r="CC57" i="2"/>
  <c r="CA67" i="2"/>
  <c r="CB67" i="2"/>
  <c r="CC67" i="2"/>
  <c r="BY67" i="2"/>
  <c r="BZ67" i="2"/>
  <c r="CA51" i="2"/>
  <c r="CB51" i="2"/>
  <c r="CC51" i="2"/>
  <c r="BY51" i="2"/>
  <c r="BZ51" i="2"/>
  <c r="BZ35" i="2"/>
  <c r="CA35" i="2"/>
  <c r="CB35" i="2"/>
  <c r="CC35" i="2"/>
  <c r="BY35" i="2"/>
  <c r="CA21" i="2"/>
  <c r="CB21" i="2"/>
  <c r="BY21" i="2"/>
  <c r="CC21" i="2"/>
  <c r="BZ21" i="2"/>
  <c r="BZ23" i="2"/>
  <c r="BY23" i="2"/>
  <c r="CA23" i="2"/>
  <c r="CB23" i="2"/>
  <c r="CC23" i="2"/>
  <c r="CA27" i="2"/>
  <c r="CB27" i="2"/>
  <c r="CC27" i="2"/>
  <c r="BZ27" i="2"/>
  <c r="BY27" i="2"/>
  <c r="CB25" i="2"/>
  <c r="CC25" i="2"/>
  <c r="CA25" i="2"/>
  <c r="BZ25" i="2"/>
  <c r="BY25" i="2"/>
  <c r="BF65" i="2"/>
  <c r="BN65" i="2"/>
  <c r="BP65" i="2"/>
  <c r="BI65" i="2"/>
  <c r="BG65" i="2"/>
  <c r="BO65" i="2"/>
  <c r="BH65" i="2"/>
  <c r="BQ65" i="2"/>
  <c r="BM65" i="2"/>
  <c r="BB65" i="2"/>
  <c r="BC65" i="2"/>
  <c r="BE65" i="2"/>
  <c r="BK65" i="2"/>
  <c r="BL65" i="2"/>
  <c r="BR65" i="2"/>
  <c r="BS65" i="2"/>
  <c r="BD65" i="2"/>
  <c r="BJ65" i="2"/>
  <c r="BD49" i="2"/>
  <c r="BL49" i="2"/>
  <c r="BE49" i="2"/>
  <c r="BM49" i="2"/>
  <c r="BF49" i="2"/>
  <c r="BP49" i="2"/>
  <c r="BH49" i="2"/>
  <c r="BI49" i="2"/>
  <c r="BG49" i="2"/>
  <c r="BQ49" i="2"/>
  <c r="BR49" i="2"/>
  <c r="BS49" i="2"/>
  <c r="BO49" i="2"/>
  <c r="BB49" i="2"/>
  <c r="BC49" i="2"/>
  <c r="BJ49" i="2"/>
  <c r="BK49" i="2"/>
  <c r="BN49" i="2"/>
  <c r="BD33" i="2"/>
  <c r="BL33" i="2"/>
  <c r="BC33" i="2"/>
  <c r="BM33" i="2"/>
  <c r="BE33" i="2"/>
  <c r="BN33" i="2"/>
  <c r="BF33" i="2"/>
  <c r="BQ33" i="2"/>
  <c r="BS33" i="2"/>
  <c r="BJ33" i="2"/>
  <c r="BG33" i="2"/>
  <c r="BR33" i="2"/>
  <c r="BH33" i="2"/>
  <c r="BI33" i="2"/>
  <c r="BP33" i="2"/>
  <c r="BK33" i="2"/>
  <c r="BB33" i="2"/>
  <c r="BO33" i="2"/>
  <c r="BF63" i="2"/>
  <c r="BG63" i="2"/>
  <c r="BH63" i="2"/>
  <c r="BP63" i="2"/>
  <c r="BR63" i="2"/>
  <c r="BK63" i="2"/>
  <c r="BI63" i="2"/>
  <c r="BQ63" i="2"/>
  <c r="BJ63" i="2"/>
  <c r="BS63" i="2"/>
  <c r="BO63" i="2"/>
  <c r="BD63" i="2"/>
  <c r="BL63" i="2"/>
  <c r="BN63" i="2"/>
  <c r="BB63" i="2"/>
  <c r="BC63" i="2"/>
  <c r="BE63" i="2"/>
  <c r="BM63" i="2"/>
  <c r="BF47" i="2"/>
  <c r="BE47" i="2"/>
  <c r="BN47" i="2"/>
  <c r="BG47" i="2"/>
  <c r="BO47" i="2"/>
  <c r="BL47" i="2"/>
  <c r="BC47" i="2"/>
  <c r="BD47" i="2"/>
  <c r="BB47" i="2"/>
  <c r="BM47" i="2"/>
  <c r="BP47" i="2"/>
  <c r="BQ47" i="2"/>
  <c r="BK47" i="2"/>
  <c r="BS47" i="2"/>
  <c r="BH47" i="2"/>
  <c r="BJ47" i="2"/>
  <c r="BR47" i="2"/>
  <c r="BI47" i="2"/>
  <c r="BF31" i="2"/>
  <c r="BN31" i="2"/>
  <c r="BC31" i="2"/>
  <c r="BL31" i="2"/>
  <c r="BD31" i="2"/>
  <c r="BM31" i="2"/>
  <c r="BJ31" i="2"/>
  <c r="BO31" i="2"/>
  <c r="BB31" i="2"/>
  <c r="BQ31" i="2"/>
  <c r="BK31" i="2"/>
  <c r="BP31" i="2"/>
  <c r="BE31" i="2"/>
  <c r="BG31" i="2"/>
  <c r="BI31" i="2"/>
  <c r="BS31" i="2"/>
  <c r="BH31" i="2"/>
  <c r="BR31" i="2"/>
  <c r="BH61" i="2"/>
  <c r="BP61" i="2"/>
  <c r="BI61" i="2"/>
  <c r="BQ61" i="2"/>
  <c r="BD61" i="2"/>
  <c r="BN61" i="2"/>
  <c r="BR61" i="2"/>
  <c r="BG61" i="2"/>
  <c r="BE61" i="2"/>
  <c r="BO61" i="2"/>
  <c r="BF61" i="2"/>
  <c r="BS61" i="2"/>
  <c r="BM61" i="2"/>
  <c r="BC61" i="2"/>
  <c r="BJ61" i="2"/>
  <c r="BB61" i="2"/>
  <c r="BK61" i="2"/>
  <c r="BL61" i="2"/>
  <c r="BH45" i="2"/>
  <c r="BP45" i="2"/>
  <c r="BE45" i="2"/>
  <c r="BN45" i="2"/>
  <c r="BF45" i="2"/>
  <c r="BO45" i="2"/>
  <c r="BG45" i="2"/>
  <c r="BS45" i="2"/>
  <c r="BI45" i="2"/>
  <c r="BJ45" i="2"/>
  <c r="BK45" i="2"/>
  <c r="BD45" i="2"/>
  <c r="BB45" i="2"/>
  <c r="BL45" i="2"/>
  <c r="BM45" i="2"/>
  <c r="BQ45" i="2"/>
  <c r="BR45" i="2"/>
  <c r="BC45" i="2"/>
  <c r="BH29" i="2"/>
  <c r="BP29" i="2"/>
  <c r="BC29" i="2"/>
  <c r="BL29" i="2"/>
  <c r="BD29" i="2"/>
  <c r="BM29" i="2"/>
  <c r="BE29" i="2"/>
  <c r="BQ29" i="2"/>
  <c r="BG29" i="2"/>
  <c r="BJ29" i="2"/>
  <c r="BF29" i="2"/>
  <c r="BR29" i="2"/>
  <c r="BS29" i="2"/>
  <c r="BI29" i="2"/>
  <c r="BK29" i="2"/>
  <c r="BO29" i="2"/>
  <c r="BB29" i="2"/>
  <c r="BN29" i="2"/>
  <c r="BB59" i="2"/>
  <c r="BJ59" i="2"/>
  <c r="BR59" i="2"/>
  <c r="BC59" i="2"/>
  <c r="BK59" i="2"/>
  <c r="BS59" i="2"/>
  <c r="BL59" i="2"/>
  <c r="BD59" i="2"/>
  <c r="BN59" i="2"/>
  <c r="BE59" i="2"/>
  <c r="BM59" i="2"/>
  <c r="BO59" i="2"/>
  <c r="BI59" i="2"/>
  <c r="BQ59" i="2"/>
  <c r="BG59" i="2"/>
  <c r="BH59" i="2"/>
  <c r="BP59" i="2"/>
  <c r="BF59" i="2"/>
  <c r="BB27" i="2"/>
  <c r="BJ27" i="2"/>
  <c r="BR27" i="2"/>
  <c r="BC27" i="2"/>
  <c r="BL27" i="2"/>
  <c r="BD27" i="2"/>
  <c r="BM27" i="2"/>
  <c r="BI27" i="2"/>
  <c r="BO27" i="2"/>
  <c r="BP27" i="2"/>
  <c r="BK27" i="2"/>
  <c r="BN27" i="2"/>
  <c r="BE27" i="2"/>
  <c r="BG27" i="2"/>
  <c r="BS27" i="2"/>
  <c r="BH27" i="2"/>
  <c r="BQ27" i="2"/>
  <c r="BF27" i="2"/>
  <c r="BD41" i="2"/>
  <c r="BL41" i="2"/>
  <c r="BE41" i="2"/>
  <c r="BN41" i="2"/>
  <c r="BF41" i="2"/>
  <c r="BO41" i="2"/>
  <c r="BG41" i="2"/>
  <c r="BR41" i="2"/>
  <c r="BI41" i="2"/>
  <c r="BJ41" i="2"/>
  <c r="BH41" i="2"/>
  <c r="BS41" i="2"/>
  <c r="BQ41" i="2"/>
  <c r="BB41" i="2"/>
  <c r="BK41" i="2"/>
  <c r="BP41" i="2"/>
  <c r="BC41" i="2"/>
  <c r="BM41" i="2"/>
  <c r="BF55" i="2"/>
  <c r="BN55" i="2"/>
  <c r="BG55" i="2"/>
  <c r="BO55" i="2"/>
  <c r="BD55" i="2"/>
  <c r="BP55" i="2"/>
  <c r="BH55" i="2"/>
  <c r="BS55" i="2"/>
  <c r="BE55" i="2"/>
  <c r="BQ55" i="2"/>
  <c r="BR55" i="2"/>
  <c r="BI55" i="2"/>
  <c r="BC55" i="2"/>
  <c r="BM55" i="2"/>
  <c r="BJ55" i="2"/>
  <c r="BK55" i="2"/>
  <c r="BL55" i="2"/>
  <c r="BB55" i="2"/>
  <c r="BF39" i="2"/>
  <c r="BN39" i="2"/>
  <c r="BD39" i="2"/>
  <c r="BM39" i="2"/>
  <c r="BE39" i="2"/>
  <c r="BO39" i="2"/>
  <c r="BK39" i="2"/>
  <c r="BB39" i="2"/>
  <c r="BC39" i="2"/>
  <c r="BL39" i="2"/>
  <c r="BP39" i="2"/>
  <c r="BQ39" i="2"/>
  <c r="BJ39" i="2"/>
  <c r="BH39" i="2"/>
  <c r="BR39" i="2"/>
  <c r="BS39" i="2"/>
  <c r="BG39" i="2"/>
  <c r="BI39" i="2"/>
  <c r="BH53" i="2"/>
  <c r="BP53" i="2"/>
  <c r="BI53" i="2"/>
  <c r="BQ53" i="2"/>
  <c r="BB53" i="2"/>
  <c r="BL53" i="2"/>
  <c r="BD53" i="2"/>
  <c r="BO53" i="2"/>
  <c r="BC53" i="2"/>
  <c r="BM53" i="2"/>
  <c r="BN53" i="2"/>
  <c r="BE53" i="2"/>
  <c r="BG53" i="2"/>
  <c r="BS53" i="2"/>
  <c r="BF53" i="2"/>
  <c r="BJ53" i="2"/>
  <c r="BK53" i="2"/>
  <c r="BR53" i="2"/>
  <c r="BH37" i="2"/>
  <c r="BP37" i="2"/>
  <c r="BD37" i="2"/>
  <c r="BM37" i="2"/>
  <c r="BE37" i="2"/>
  <c r="BN37" i="2"/>
  <c r="BF37" i="2"/>
  <c r="BR37" i="2"/>
  <c r="BJ37" i="2"/>
  <c r="BG37" i="2"/>
  <c r="BS37" i="2"/>
  <c r="BI37" i="2"/>
  <c r="BC37" i="2"/>
  <c r="BL37" i="2"/>
  <c r="BQ37" i="2"/>
  <c r="BB37" i="2"/>
  <c r="BK37" i="2"/>
  <c r="BO37" i="2"/>
  <c r="BB43" i="2"/>
  <c r="BJ43" i="2"/>
  <c r="BR43" i="2"/>
  <c r="BE43" i="2"/>
  <c r="BN43" i="2"/>
  <c r="BF43" i="2"/>
  <c r="BO43" i="2"/>
  <c r="BL43" i="2"/>
  <c r="BC43" i="2"/>
  <c r="BP43" i="2"/>
  <c r="BQ43" i="2"/>
  <c r="BM43" i="2"/>
  <c r="BD43" i="2"/>
  <c r="BH43" i="2"/>
  <c r="BI43" i="2"/>
  <c r="BK43" i="2"/>
  <c r="BG43" i="2"/>
  <c r="BS43" i="2"/>
  <c r="BD57" i="2"/>
  <c r="BL57" i="2"/>
  <c r="BE57" i="2"/>
  <c r="BM57" i="2"/>
  <c r="BH57" i="2"/>
  <c r="BR57" i="2"/>
  <c r="BI57" i="2"/>
  <c r="BS57" i="2"/>
  <c r="BJ57" i="2"/>
  <c r="BK57" i="2"/>
  <c r="BG57" i="2"/>
  <c r="BN57" i="2"/>
  <c r="BO57" i="2"/>
  <c r="BP57" i="2"/>
  <c r="BB57" i="2"/>
  <c r="BF57" i="2"/>
  <c r="BQ57" i="2"/>
  <c r="BC57" i="2"/>
  <c r="BD67" i="2"/>
  <c r="BL67" i="2"/>
  <c r="BN67" i="2"/>
  <c r="BG67" i="2"/>
  <c r="BE67" i="2"/>
  <c r="BM67" i="2"/>
  <c r="BF67" i="2"/>
  <c r="BO67" i="2"/>
  <c r="BK67" i="2"/>
  <c r="BP67" i="2"/>
  <c r="BQ67" i="2"/>
  <c r="BB67" i="2"/>
  <c r="BC67" i="2"/>
  <c r="BH67" i="2"/>
  <c r="BR67" i="2"/>
  <c r="BS67" i="2"/>
  <c r="BI67" i="2"/>
  <c r="BJ67" i="2"/>
  <c r="BB51" i="2"/>
  <c r="BJ51" i="2"/>
  <c r="BR51" i="2"/>
  <c r="BC51" i="2"/>
  <c r="BK51" i="2"/>
  <c r="BS51" i="2"/>
  <c r="BH51" i="2"/>
  <c r="BM51" i="2"/>
  <c r="BI51" i="2"/>
  <c r="BL51" i="2"/>
  <c r="BQ51" i="2"/>
  <c r="BF51" i="2"/>
  <c r="BG51" i="2"/>
  <c r="BN51" i="2"/>
  <c r="BP51" i="2"/>
  <c r="BD51" i="2"/>
  <c r="BE51" i="2"/>
  <c r="BO51" i="2"/>
  <c r="BB35" i="2"/>
  <c r="BJ35" i="2"/>
  <c r="BR35" i="2"/>
  <c r="BD35" i="2"/>
  <c r="BM35" i="2"/>
  <c r="BE35" i="2"/>
  <c r="BN35" i="2"/>
  <c r="BK35" i="2"/>
  <c r="BO35" i="2"/>
  <c r="BC35" i="2"/>
  <c r="BL35" i="2"/>
  <c r="BP35" i="2"/>
  <c r="BH35" i="2"/>
  <c r="BQ35" i="2"/>
  <c r="BF35" i="2"/>
  <c r="BG35" i="2"/>
  <c r="BI35" i="2"/>
  <c r="BS35" i="2"/>
  <c r="BI21" i="2"/>
  <c r="BQ21" i="2"/>
  <c r="BH21" i="2"/>
  <c r="BB21" i="2"/>
  <c r="BJ21" i="2"/>
  <c r="BR21" i="2"/>
  <c r="BC21" i="2"/>
  <c r="BK21" i="2"/>
  <c r="BS21" i="2"/>
  <c r="BD21" i="2"/>
  <c r="BL21" i="2"/>
  <c r="BP21" i="2"/>
  <c r="BE21" i="2"/>
  <c r="BM21" i="2"/>
  <c r="BF21" i="2"/>
  <c r="BN21" i="2"/>
  <c r="BG21" i="2"/>
  <c r="BO21" i="2"/>
  <c r="BI19" i="2"/>
  <c r="BQ19" i="2"/>
  <c r="BJ19" i="2"/>
  <c r="BR19" i="2"/>
  <c r="BF19" i="2"/>
  <c r="BC19" i="2"/>
  <c r="BK19" i="2"/>
  <c r="BS19" i="2"/>
  <c r="BN19" i="2"/>
  <c r="BO19" i="2"/>
  <c r="BD19" i="2"/>
  <c r="BL19" i="2"/>
  <c r="BB19" i="2"/>
  <c r="BG19" i="2"/>
  <c r="BP19" i="2"/>
  <c r="BE19" i="2"/>
  <c r="BM19" i="2"/>
  <c r="BH19" i="2"/>
  <c r="BE25" i="2"/>
  <c r="BM25" i="2"/>
  <c r="BJ25" i="2"/>
  <c r="BF25" i="2"/>
  <c r="BN25" i="2"/>
  <c r="BG25" i="2"/>
  <c r="BO25" i="2"/>
  <c r="BB25" i="2"/>
  <c r="BH25" i="2"/>
  <c r="BP25" i="2"/>
  <c r="BK25" i="2"/>
  <c r="BS25" i="2"/>
  <c r="BD25" i="2"/>
  <c r="BI25" i="2"/>
  <c r="BQ25" i="2"/>
  <c r="BR25" i="2"/>
  <c r="BC25" i="2"/>
  <c r="BL25" i="2"/>
  <c r="BG23" i="2"/>
  <c r="BO23" i="2"/>
  <c r="BF23" i="2"/>
  <c r="BH23" i="2"/>
  <c r="BP23" i="2"/>
  <c r="BS23" i="2"/>
  <c r="BM23" i="2"/>
  <c r="BI23" i="2"/>
  <c r="BQ23" i="2"/>
  <c r="BC23" i="2"/>
  <c r="BL23" i="2"/>
  <c r="BE23" i="2"/>
  <c r="BB23" i="2"/>
  <c r="BJ23" i="2"/>
  <c r="BR23" i="2"/>
  <c r="BK23" i="2"/>
  <c r="BD23" i="2"/>
  <c r="BN23" i="2"/>
  <c r="G23" i="2"/>
  <c r="E34" i="3"/>
  <c r="K34" i="3" s="1"/>
  <c r="E32" i="3"/>
  <c r="K32" i="3" s="1"/>
  <c r="N13" i="2"/>
  <c r="Q13" i="2"/>
  <c r="K13" i="2"/>
  <c r="O13" i="2"/>
  <c r="L13" i="2"/>
  <c r="P13" i="2"/>
  <c r="M13" i="2"/>
  <c r="I13" i="2"/>
  <c r="AV49" i="2"/>
  <c r="AV53" i="2"/>
  <c r="AV54" i="2"/>
  <c r="AV55" i="2"/>
  <c r="AV56" i="2"/>
  <c r="AV57" i="2"/>
  <c r="BX59" i="2" l="1"/>
  <c r="F35" i="3"/>
  <c r="F38" i="3"/>
  <c r="F37" i="3"/>
  <c r="F36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5" i="3"/>
  <c r="K15" i="3"/>
  <c r="F16" i="3"/>
  <c r="F17" i="3"/>
  <c r="BX19" i="2"/>
  <c r="BX49" i="2"/>
  <c r="BX41" i="2"/>
  <c r="BX51" i="2"/>
  <c r="BX57" i="2"/>
  <c r="BX45" i="2"/>
  <c r="BX63" i="2"/>
  <c r="BX47" i="2"/>
  <c r="BX43" i="2"/>
  <c r="BW21" i="2"/>
  <c r="BW51" i="2"/>
  <c r="BW67" i="2"/>
  <c r="BW29" i="2"/>
  <c r="BW61" i="2"/>
  <c r="BW43" i="2"/>
  <c r="BW39" i="2"/>
  <c r="AZ61" i="2"/>
  <c r="BX35" i="2"/>
  <c r="BW45" i="2"/>
  <c r="BW65" i="2"/>
  <c r="BX53" i="2"/>
  <c r="BX39" i="2"/>
  <c r="BW47" i="2"/>
  <c r="BX67" i="2"/>
  <c r="BW37" i="2"/>
  <c r="BW53" i="2"/>
  <c r="BX55" i="2"/>
  <c r="BX29" i="2"/>
  <c r="BX31" i="2"/>
  <c r="BX37" i="2"/>
  <c r="BW55" i="2"/>
  <c r="BW59" i="2"/>
  <c r="BW31" i="2"/>
  <c r="BW63" i="2"/>
  <c r="BW35" i="2"/>
  <c r="BW57" i="2"/>
  <c r="BX61" i="2"/>
  <c r="BX33" i="2"/>
  <c r="BW33" i="2"/>
  <c r="BX65" i="2"/>
  <c r="BW41" i="2"/>
  <c r="BW49" i="2"/>
  <c r="BX21" i="2"/>
  <c r="BW23" i="2"/>
  <c r="BX23" i="2"/>
  <c r="BW27" i="2"/>
  <c r="BX27" i="2"/>
  <c r="BX25" i="2"/>
  <c r="BW25" i="2"/>
  <c r="BW19" i="2"/>
  <c r="AX57" i="2"/>
  <c r="AW57" i="2"/>
  <c r="BA57" i="2"/>
  <c r="AY57" i="2"/>
  <c r="AZ57" i="2"/>
  <c r="AW43" i="2"/>
  <c r="AZ43" i="2"/>
  <c r="AY43" i="2"/>
  <c r="AX43" i="2"/>
  <c r="BA43" i="2"/>
  <c r="BA61" i="2"/>
  <c r="AW61" i="2"/>
  <c r="AY61" i="2"/>
  <c r="AX61" i="2"/>
  <c r="AY49" i="2"/>
  <c r="AW49" i="2"/>
  <c r="AZ49" i="2"/>
  <c r="AX49" i="2"/>
  <c r="BA49" i="2"/>
  <c r="AX67" i="2"/>
  <c r="AZ67" i="2"/>
  <c r="AW67" i="2"/>
  <c r="AY67" i="2"/>
  <c r="BA67" i="2"/>
  <c r="AZ55" i="2"/>
  <c r="BA55" i="2"/>
  <c r="AW55" i="2"/>
  <c r="AY55" i="2"/>
  <c r="AX55" i="2"/>
  <c r="AX65" i="2"/>
  <c r="BA65" i="2"/>
  <c r="AW65" i="2"/>
  <c r="AY65" i="2"/>
  <c r="AZ65" i="2"/>
  <c r="AW53" i="2"/>
  <c r="AY53" i="2"/>
  <c r="AZ53" i="2"/>
  <c r="BA53" i="2"/>
  <c r="AX53" i="2"/>
  <c r="AY41" i="2"/>
  <c r="AZ41" i="2"/>
  <c r="BA41" i="2"/>
  <c r="AW41" i="2"/>
  <c r="AZ59" i="2"/>
  <c r="AX59" i="2"/>
  <c r="BA59" i="2"/>
  <c r="AW59" i="2"/>
  <c r="AY59" i="2"/>
  <c r="AX47" i="2"/>
  <c r="BA47" i="2"/>
  <c r="AZ47" i="2"/>
  <c r="AW47" i="2"/>
  <c r="AX35" i="2"/>
  <c r="AZ35" i="2"/>
  <c r="AW35" i="2"/>
  <c r="AY35" i="2"/>
  <c r="BA35" i="2"/>
  <c r="AY47" i="2"/>
  <c r="AX39" i="2"/>
  <c r="AZ39" i="2"/>
  <c r="BA39" i="2"/>
  <c r="AY39" i="2"/>
  <c r="AW39" i="2"/>
  <c r="AX41" i="2"/>
  <c r="BA31" i="2"/>
  <c r="AW31" i="2"/>
  <c r="AX31" i="2"/>
  <c r="AZ31" i="2"/>
  <c r="AY31" i="2"/>
  <c r="AW63" i="2"/>
  <c r="AX29" i="2"/>
  <c r="AY29" i="2"/>
  <c r="BA29" i="2"/>
  <c r="AZ29" i="2"/>
  <c r="AW29" i="2"/>
  <c r="BA63" i="2"/>
  <c r="AY63" i="2"/>
  <c r="AZ63" i="2"/>
  <c r="AX63" i="2"/>
  <c r="AW51" i="2"/>
  <c r="BA51" i="2"/>
  <c r="AY51" i="2"/>
  <c r="AX51" i="2"/>
  <c r="AZ51" i="2"/>
  <c r="AZ37" i="2"/>
  <c r="AW37" i="2"/>
  <c r="AY37" i="2"/>
  <c r="BA37" i="2"/>
  <c r="AX37" i="2"/>
  <c r="AY27" i="2"/>
  <c r="AZ27" i="2"/>
  <c r="AX27" i="2"/>
  <c r="AW27" i="2"/>
  <c r="BA27" i="2"/>
  <c r="BA45" i="2"/>
  <c r="AW45" i="2"/>
  <c r="AX45" i="2"/>
  <c r="AY45" i="2"/>
  <c r="AZ45" i="2"/>
  <c r="AY33" i="2"/>
  <c r="BA33" i="2"/>
  <c r="AW33" i="2"/>
  <c r="AZ33" i="2"/>
  <c r="AX33" i="2"/>
  <c r="AZ21" i="2"/>
  <c r="AY21" i="2"/>
  <c r="AX21" i="2"/>
  <c r="AW21" i="2"/>
  <c r="BA21" i="2"/>
  <c r="BA19" i="2"/>
  <c r="AX19" i="2"/>
  <c r="AW19" i="2"/>
  <c r="AZ19" i="2"/>
  <c r="AY19" i="2"/>
  <c r="AY25" i="2"/>
  <c r="AX25" i="2"/>
  <c r="AW25" i="2"/>
  <c r="BA25" i="2"/>
  <c r="AZ25" i="2"/>
  <c r="AX23" i="2"/>
  <c r="AW23" i="2"/>
  <c r="BA23" i="2"/>
  <c r="AY23" i="2"/>
  <c r="AZ23" i="2"/>
  <c r="G25" i="2"/>
  <c r="C17" i="3"/>
  <c r="AG64" i="2"/>
  <c r="AG66" i="2"/>
  <c r="AG68" i="2"/>
  <c r="AG62" i="2"/>
  <c r="AG50" i="2"/>
  <c r="AG60" i="2"/>
  <c r="AG58" i="2"/>
  <c r="AG56" i="2"/>
  <c r="AG54" i="2"/>
  <c r="H13" i="2"/>
  <c r="J13" i="2"/>
  <c r="R13" i="2"/>
  <c r="G13" i="2"/>
  <c r="AS23" i="2"/>
  <c r="AS25" i="2"/>
  <c r="AS27" i="2"/>
  <c r="AS29" i="2"/>
  <c r="AS31" i="2"/>
  <c r="AS33" i="2"/>
  <c r="AS35" i="2"/>
  <c r="AS37" i="2"/>
  <c r="AS39" i="2"/>
  <c r="AS41" i="2"/>
  <c r="AS43" i="2"/>
  <c r="AS45" i="2"/>
  <c r="AS47" i="2"/>
  <c r="AV47" i="2" s="1"/>
  <c r="AS49" i="2"/>
  <c r="AS51" i="2"/>
  <c r="AV51" i="2" s="1"/>
  <c r="AS53" i="2"/>
  <c r="AS55" i="2"/>
  <c r="AS21" i="2"/>
  <c r="AS19" i="2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" i="1"/>
  <c r="AR9" i="2"/>
  <c r="AS8" i="2"/>
  <c r="AS7" i="2"/>
  <c r="N41" i="1"/>
  <c r="G27" i="2" l="1"/>
  <c r="C18" i="3"/>
  <c r="N38" i="3"/>
  <c r="N37" i="3"/>
  <c r="N34" i="3"/>
  <c r="N33" i="3"/>
  <c r="N35" i="3"/>
  <c r="N32" i="3"/>
  <c r="N30" i="3"/>
  <c r="N36" i="3"/>
  <c r="G33" i="2"/>
  <c r="C22" i="3" s="1"/>
  <c r="AS15" i="2"/>
  <c r="AS11" i="2"/>
  <c r="C14" i="2"/>
  <c r="A19" i="2" s="1"/>
  <c r="A21" i="2" s="1"/>
  <c r="A23" i="2" s="1"/>
  <c r="A25" i="2" s="1"/>
  <c r="A27" i="2" s="1"/>
  <c r="A29" i="2" s="1"/>
  <c r="A31" i="2" s="1"/>
  <c r="A33" i="2" s="1"/>
  <c r="A35" i="2" s="1"/>
  <c r="A37" i="2" s="1"/>
  <c r="A39" i="2" s="1"/>
  <c r="A41" i="2" s="1"/>
  <c r="A43" i="2" s="1"/>
  <c r="A45" i="2" s="1"/>
  <c r="A47" i="2" s="1"/>
  <c r="A49" i="2" s="1"/>
  <c r="A51" i="2" s="1"/>
  <c r="A53" i="2" s="1"/>
  <c r="A55" i="2" s="1"/>
  <c r="A57" i="2" s="1"/>
  <c r="A59" i="2" s="1"/>
  <c r="A61" i="2" s="1"/>
  <c r="A63" i="2" s="1"/>
  <c r="A65" i="2" s="1"/>
  <c r="A67" i="2" s="1"/>
  <c r="O12" i="2"/>
  <c r="K12" i="2"/>
  <c r="P12" i="2"/>
  <c r="H12" i="2"/>
  <c r="C12" i="2"/>
  <c r="R12" i="2"/>
  <c r="N12" i="2"/>
  <c r="I12" i="2"/>
  <c r="L12" i="2"/>
  <c r="Q12" i="2"/>
  <c r="M12" i="2"/>
  <c r="J12" i="2"/>
  <c r="D14" i="2"/>
  <c r="B19" i="2" s="1"/>
  <c r="B21" i="2" s="1"/>
  <c r="B23" i="2" s="1"/>
  <c r="B25" i="2" s="1"/>
  <c r="B27" i="2" s="1"/>
  <c r="B29" i="2" s="1"/>
  <c r="B31" i="2" s="1"/>
  <c r="B33" i="2" s="1"/>
  <c r="B35" i="2" s="1"/>
  <c r="B37" i="2" s="1"/>
  <c r="B39" i="2" s="1"/>
  <c r="B41" i="2" s="1"/>
  <c r="B43" i="2" s="1"/>
  <c r="B45" i="2" s="1"/>
  <c r="B47" i="2" s="1"/>
  <c r="B49" i="2" s="1"/>
  <c r="B51" i="2" s="1"/>
  <c r="B53" i="2" s="1"/>
  <c r="B55" i="2" s="1"/>
  <c r="B57" i="2" s="1"/>
  <c r="B59" i="2" s="1"/>
  <c r="B61" i="2" s="1"/>
  <c r="B63" i="2" s="1"/>
  <c r="B65" i="2" s="1"/>
  <c r="B67" i="2" s="1"/>
  <c r="AS17" i="2"/>
  <c r="AA1" i="1"/>
  <c r="W1" i="1"/>
  <c r="Y1" i="1"/>
  <c r="AS14" i="2"/>
  <c r="AR14" i="2" s="1"/>
  <c r="AS12" i="2" s="1"/>
  <c r="AR15" i="2"/>
  <c r="C19" i="3" l="1"/>
  <c r="G29" i="2"/>
  <c r="C20" i="3" s="1"/>
  <c r="M8" i="2"/>
  <c r="N7" i="2" s="1"/>
  <c r="W4" i="1"/>
  <c r="AA6" i="1"/>
  <c r="AC6" i="1" s="1"/>
  <c r="A21" i="3"/>
  <c r="W120" i="1"/>
  <c r="W117" i="1"/>
  <c r="X117" i="1"/>
  <c r="X120" i="1"/>
  <c r="X118" i="1"/>
  <c r="W119" i="1"/>
  <c r="X119" i="1"/>
  <c r="W118" i="1"/>
  <c r="A15" i="3"/>
  <c r="G35" i="2"/>
  <c r="B69" i="2"/>
  <c r="Y5" i="1"/>
  <c r="Y13" i="1"/>
  <c r="Y21" i="1"/>
  <c r="Y29" i="1"/>
  <c r="Y37" i="1"/>
  <c r="Y45" i="1"/>
  <c r="Y53" i="1"/>
  <c r="Y61" i="1"/>
  <c r="Y69" i="1"/>
  <c r="Y77" i="1"/>
  <c r="Y85" i="1"/>
  <c r="Y93" i="1"/>
  <c r="Y101" i="1"/>
  <c r="Y109" i="1"/>
  <c r="Z4" i="1"/>
  <c r="Y20" i="1"/>
  <c r="Y68" i="1"/>
  <c r="Y84" i="1"/>
  <c r="Y108" i="1"/>
  <c r="Y6" i="1"/>
  <c r="Y14" i="1"/>
  <c r="Y22" i="1"/>
  <c r="Y30" i="1"/>
  <c r="Y38" i="1"/>
  <c r="Y46" i="1"/>
  <c r="Y54" i="1"/>
  <c r="Y62" i="1"/>
  <c r="Y70" i="1"/>
  <c r="Y78" i="1"/>
  <c r="Y86" i="1"/>
  <c r="Y94" i="1"/>
  <c r="Y102" i="1"/>
  <c r="Y110" i="1"/>
  <c r="Y4" i="1"/>
  <c r="Y9" i="1"/>
  <c r="Y17" i="1"/>
  <c r="Y25" i="1"/>
  <c r="Y33" i="1"/>
  <c r="Y57" i="1"/>
  <c r="Y65" i="1"/>
  <c r="Y73" i="1"/>
  <c r="Y81" i="1"/>
  <c r="Y97" i="1"/>
  <c r="Y113" i="1"/>
  <c r="Y44" i="1"/>
  <c r="Y7" i="1"/>
  <c r="Y15" i="1"/>
  <c r="Y23" i="1"/>
  <c r="Y31" i="1"/>
  <c r="Y39" i="1"/>
  <c r="Y47" i="1"/>
  <c r="Y55" i="1"/>
  <c r="Y63" i="1"/>
  <c r="Y71" i="1"/>
  <c r="Y79" i="1"/>
  <c r="Y87" i="1"/>
  <c r="Y95" i="1"/>
  <c r="Y103" i="1"/>
  <c r="Y111" i="1"/>
  <c r="Y49" i="1"/>
  <c r="Y105" i="1"/>
  <c r="Y8" i="1"/>
  <c r="Y16" i="1"/>
  <c r="Y24" i="1"/>
  <c r="Y32" i="1"/>
  <c r="Y40" i="1"/>
  <c r="Y48" i="1"/>
  <c r="Y56" i="1"/>
  <c r="Y64" i="1"/>
  <c r="Y72" i="1"/>
  <c r="Y80" i="1"/>
  <c r="Y88" i="1"/>
  <c r="Y96" i="1"/>
  <c r="Y104" i="1"/>
  <c r="Y112" i="1"/>
  <c r="Y41" i="1"/>
  <c r="Y89" i="1"/>
  <c r="Y28" i="1"/>
  <c r="Y36" i="1"/>
  <c r="Y60" i="1"/>
  <c r="Y76" i="1"/>
  <c r="Y92" i="1"/>
  <c r="Y116" i="1"/>
  <c r="Y10" i="1"/>
  <c r="Y18" i="1"/>
  <c r="Y26" i="1"/>
  <c r="Y34" i="1"/>
  <c r="Y42" i="1"/>
  <c r="Y50" i="1"/>
  <c r="Y58" i="1"/>
  <c r="Y66" i="1"/>
  <c r="Y74" i="1"/>
  <c r="Y82" i="1"/>
  <c r="Y90" i="1"/>
  <c r="Y98" i="1"/>
  <c r="Y106" i="1"/>
  <c r="Y114" i="1"/>
  <c r="Y11" i="1"/>
  <c r="Y27" i="1"/>
  <c r="Y35" i="1"/>
  <c r="Y43" i="1"/>
  <c r="Y51" i="1"/>
  <c r="Y59" i="1"/>
  <c r="Y67" i="1"/>
  <c r="Y75" i="1"/>
  <c r="Y83" i="1"/>
  <c r="Y91" i="1"/>
  <c r="Y99" i="1"/>
  <c r="Y107" i="1"/>
  <c r="Y115" i="1"/>
  <c r="Y12" i="1"/>
  <c r="Y100" i="1"/>
  <c r="Y19" i="1"/>
  <c r="Y52" i="1"/>
  <c r="AR19" i="2"/>
  <c r="A16" i="3"/>
  <c r="D12" i="2"/>
  <c r="AT17" i="2" s="1"/>
  <c r="B12" i="2"/>
  <c r="BT4" i="1"/>
  <c r="D7" i="1"/>
  <c r="E7" i="1" s="1"/>
  <c r="D3" i="1"/>
  <c r="E3" i="1" s="1"/>
  <c r="D10" i="1"/>
  <c r="E10" i="1" s="1"/>
  <c r="D6" i="1"/>
  <c r="E6" i="1" s="1"/>
  <c r="D9" i="1"/>
  <c r="E9" i="1" s="1"/>
  <c r="D5" i="1"/>
  <c r="E5" i="1" s="1"/>
  <c r="D8" i="1"/>
  <c r="E8" i="1" s="1"/>
  <c r="D4" i="1"/>
  <c r="E4" i="1" s="1"/>
  <c r="AA5" i="1"/>
  <c r="AC5" i="1" s="1"/>
  <c r="AA7" i="1"/>
  <c r="AC7" i="1" s="1"/>
  <c r="AA9" i="1"/>
  <c r="AC9" i="1" s="1"/>
  <c r="AA11" i="1"/>
  <c r="AC11" i="1" s="1"/>
  <c r="AA13" i="1"/>
  <c r="AC13" i="1" s="1"/>
  <c r="AB5" i="1"/>
  <c r="AB7" i="1"/>
  <c r="AB9" i="1"/>
  <c r="AB11" i="1"/>
  <c r="AB13" i="1"/>
  <c r="Z5" i="1"/>
  <c r="Z7" i="1"/>
  <c r="Z9" i="1"/>
  <c r="Z11" i="1"/>
  <c r="Z13" i="1"/>
  <c r="Z15" i="1"/>
  <c r="Z17" i="1"/>
  <c r="Z19" i="1"/>
  <c r="Z21" i="1"/>
  <c r="Z23" i="1"/>
  <c r="Z25" i="1"/>
  <c r="Z27" i="1"/>
  <c r="Z29" i="1"/>
  <c r="Z31" i="1"/>
  <c r="Z33" i="1"/>
  <c r="Z35" i="1"/>
  <c r="Z37" i="1"/>
  <c r="Z39" i="1"/>
  <c r="Z41" i="1"/>
  <c r="Z43" i="1"/>
  <c r="Z45" i="1"/>
  <c r="AA8" i="1"/>
  <c r="AA10" i="1"/>
  <c r="AA12" i="1"/>
  <c r="AB4" i="1"/>
  <c r="AB6" i="1"/>
  <c r="Z6" i="1"/>
  <c r="Z14" i="1"/>
  <c r="Z22" i="1"/>
  <c r="Z30" i="1"/>
  <c r="Z38" i="1"/>
  <c r="Z46" i="1"/>
  <c r="Z48" i="1"/>
  <c r="Z50" i="1"/>
  <c r="Z52" i="1"/>
  <c r="Z54" i="1"/>
  <c r="Z56" i="1"/>
  <c r="Z58" i="1"/>
  <c r="Z60" i="1"/>
  <c r="Z62" i="1"/>
  <c r="Z64" i="1"/>
  <c r="Z66" i="1"/>
  <c r="Z68" i="1"/>
  <c r="Z70" i="1"/>
  <c r="Z72" i="1"/>
  <c r="Z74" i="1"/>
  <c r="Z76" i="1"/>
  <c r="Z78" i="1"/>
  <c r="Z80" i="1"/>
  <c r="Z82" i="1"/>
  <c r="Z84" i="1"/>
  <c r="Z86" i="1"/>
  <c r="Z88" i="1"/>
  <c r="Z90" i="1"/>
  <c r="Z92" i="1"/>
  <c r="Z94" i="1"/>
  <c r="Z96" i="1"/>
  <c r="Z98" i="1"/>
  <c r="Z100" i="1"/>
  <c r="Z102" i="1"/>
  <c r="Z104" i="1"/>
  <c r="Z106" i="1"/>
  <c r="Z108" i="1"/>
  <c r="Z110" i="1"/>
  <c r="Z112" i="1"/>
  <c r="Z114" i="1"/>
  <c r="Z116" i="1"/>
  <c r="X6" i="1"/>
  <c r="X8" i="1"/>
  <c r="X10" i="1"/>
  <c r="X12" i="1"/>
  <c r="X14" i="1"/>
  <c r="X16" i="1"/>
  <c r="X18" i="1"/>
  <c r="X20" i="1"/>
  <c r="X22" i="1"/>
  <c r="X24" i="1"/>
  <c r="X26" i="1"/>
  <c r="X28" i="1"/>
  <c r="X30" i="1"/>
  <c r="X32" i="1"/>
  <c r="X34" i="1"/>
  <c r="X36" i="1"/>
  <c r="X38" i="1"/>
  <c r="X40" i="1"/>
  <c r="X42" i="1"/>
  <c r="X44" i="1"/>
  <c r="X46" i="1"/>
  <c r="X48" i="1"/>
  <c r="X50" i="1"/>
  <c r="X52" i="1"/>
  <c r="X54" i="1"/>
  <c r="X56" i="1"/>
  <c r="X58" i="1"/>
  <c r="X60" i="1"/>
  <c r="X62" i="1"/>
  <c r="X64" i="1"/>
  <c r="X66" i="1"/>
  <c r="X68" i="1"/>
  <c r="X70" i="1"/>
  <c r="X72" i="1"/>
  <c r="X74" i="1"/>
  <c r="X76" i="1"/>
  <c r="X78" i="1"/>
  <c r="X80" i="1"/>
  <c r="X82" i="1"/>
  <c r="X84" i="1"/>
  <c r="X86" i="1"/>
  <c r="X88" i="1"/>
  <c r="X90" i="1"/>
  <c r="X92" i="1"/>
  <c r="X94" i="1"/>
  <c r="X96" i="1"/>
  <c r="X98" i="1"/>
  <c r="X100" i="1"/>
  <c r="X102" i="1"/>
  <c r="X104" i="1"/>
  <c r="X106" i="1"/>
  <c r="X108" i="1"/>
  <c r="X110" i="1"/>
  <c r="X112" i="1"/>
  <c r="X114" i="1"/>
  <c r="X116" i="1"/>
  <c r="Z12" i="1"/>
  <c r="Z28" i="1"/>
  <c r="W6" i="1"/>
  <c r="W10" i="1"/>
  <c r="W16" i="1"/>
  <c r="W22" i="1"/>
  <c r="W26" i="1"/>
  <c r="W34" i="1"/>
  <c r="W38" i="1"/>
  <c r="W44" i="1"/>
  <c r="W50" i="1"/>
  <c r="W56" i="1"/>
  <c r="W62" i="1"/>
  <c r="W68" i="1"/>
  <c r="W74" i="1"/>
  <c r="W82" i="1"/>
  <c r="W86" i="1"/>
  <c r="W92" i="1"/>
  <c r="W98" i="1"/>
  <c r="W104" i="1"/>
  <c r="W110" i="1"/>
  <c r="W116" i="1"/>
  <c r="AB8" i="1"/>
  <c r="Z8" i="1"/>
  <c r="Z16" i="1"/>
  <c r="Z24" i="1"/>
  <c r="Z32" i="1"/>
  <c r="Z40" i="1"/>
  <c r="W5" i="1"/>
  <c r="W7" i="1"/>
  <c r="W9" i="1"/>
  <c r="W11" i="1"/>
  <c r="W13" i="1"/>
  <c r="W15" i="1"/>
  <c r="W17" i="1"/>
  <c r="W19" i="1"/>
  <c r="W21" i="1"/>
  <c r="W23" i="1"/>
  <c r="W25" i="1"/>
  <c r="W27" i="1"/>
  <c r="W29" i="1"/>
  <c r="W31" i="1"/>
  <c r="W33" i="1"/>
  <c r="W35" i="1"/>
  <c r="W37" i="1"/>
  <c r="W39" i="1"/>
  <c r="W41" i="1"/>
  <c r="W43" i="1"/>
  <c r="W45" i="1"/>
  <c r="W47" i="1"/>
  <c r="W49" i="1"/>
  <c r="W51" i="1"/>
  <c r="W53" i="1"/>
  <c r="W55" i="1"/>
  <c r="W57" i="1"/>
  <c r="W59" i="1"/>
  <c r="W61" i="1"/>
  <c r="W63" i="1"/>
  <c r="W65" i="1"/>
  <c r="W67" i="1"/>
  <c r="W69" i="1"/>
  <c r="W71" i="1"/>
  <c r="W73" i="1"/>
  <c r="W75" i="1"/>
  <c r="W77" i="1"/>
  <c r="W79" i="1"/>
  <c r="W81" i="1"/>
  <c r="W83" i="1"/>
  <c r="W85" i="1"/>
  <c r="W87" i="1"/>
  <c r="W89" i="1"/>
  <c r="W91" i="1"/>
  <c r="W93" i="1"/>
  <c r="W95" i="1"/>
  <c r="W97" i="1"/>
  <c r="W99" i="1"/>
  <c r="W101" i="1"/>
  <c r="W103" i="1"/>
  <c r="W105" i="1"/>
  <c r="W107" i="1"/>
  <c r="W109" i="1"/>
  <c r="W111" i="1"/>
  <c r="W113" i="1"/>
  <c r="W115" i="1"/>
  <c r="X4" i="1"/>
  <c r="AA4" i="1"/>
  <c r="Z36" i="1"/>
  <c r="W12" i="1"/>
  <c r="W18" i="1"/>
  <c r="W24" i="1"/>
  <c r="W28" i="1"/>
  <c r="W32" i="1"/>
  <c r="W40" i="1"/>
  <c r="W46" i="1"/>
  <c r="W52" i="1"/>
  <c r="W58" i="1"/>
  <c r="W64" i="1"/>
  <c r="W70" i="1"/>
  <c r="W76" i="1"/>
  <c r="W80" i="1"/>
  <c r="W88" i="1"/>
  <c r="W94" i="1"/>
  <c r="W102" i="1"/>
  <c r="W108" i="1"/>
  <c r="W114" i="1"/>
  <c r="AB10" i="1"/>
  <c r="Z10" i="1"/>
  <c r="Z18" i="1"/>
  <c r="Z26" i="1"/>
  <c r="Z34" i="1"/>
  <c r="Z42" i="1"/>
  <c r="Z47" i="1"/>
  <c r="Z49" i="1"/>
  <c r="Z51" i="1"/>
  <c r="Z53" i="1"/>
  <c r="Z55" i="1"/>
  <c r="Z57" i="1"/>
  <c r="Z59" i="1"/>
  <c r="Z61" i="1"/>
  <c r="Z63" i="1"/>
  <c r="Z65" i="1"/>
  <c r="Z67" i="1"/>
  <c r="Z69" i="1"/>
  <c r="Z71" i="1"/>
  <c r="Z73" i="1"/>
  <c r="Z75" i="1"/>
  <c r="Z77" i="1"/>
  <c r="Z79" i="1"/>
  <c r="Z81" i="1"/>
  <c r="Z83" i="1"/>
  <c r="Z85" i="1"/>
  <c r="Z87" i="1"/>
  <c r="Z89" i="1"/>
  <c r="Z91" i="1"/>
  <c r="Z93" i="1"/>
  <c r="Z95" i="1"/>
  <c r="Z97" i="1"/>
  <c r="Z99" i="1"/>
  <c r="Z101" i="1"/>
  <c r="Z103" i="1"/>
  <c r="Z105" i="1"/>
  <c r="Z107" i="1"/>
  <c r="Z109" i="1"/>
  <c r="Z111" i="1"/>
  <c r="Z113" i="1"/>
  <c r="Z115" i="1"/>
  <c r="X5" i="1"/>
  <c r="X7" i="1"/>
  <c r="X9" i="1"/>
  <c r="X11" i="1"/>
  <c r="X13" i="1"/>
  <c r="X15" i="1"/>
  <c r="X17" i="1"/>
  <c r="X19" i="1"/>
  <c r="X21" i="1"/>
  <c r="X23" i="1"/>
  <c r="X25" i="1"/>
  <c r="X27" i="1"/>
  <c r="X29" i="1"/>
  <c r="X31" i="1"/>
  <c r="X33" i="1"/>
  <c r="X35" i="1"/>
  <c r="X37" i="1"/>
  <c r="X39" i="1"/>
  <c r="X41" i="1"/>
  <c r="X43" i="1"/>
  <c r="X45" i="1"/>
  <c r="X47" i="1"/>
  <c r="X49" i="1"/>
  <c r="X51" i="1"/>
  <c r="X53" i="1"/>
  <c r="X55" i="1"/>
  <c r="X57" i="1"/>
  <c r="X59" i="1"/>
  <c r="X61" i="1"/>
  <c r="X63" i="1"/>
  <c r="X65" i="1"/>
  <c r="X67" i="1"/>
  <c r="X69" i="1"/>
  <c r="X71" i="1"/>
  <c r="X73" i="1"/>
  <c r="X75" i="1"/>
  <c r="X77" i="1"/>
  <c r="X79" i="1"/>
  <c r="X81" i="1"/>
  <c r="X83" i="1"/>
  <c r="X85" i="1"/>
  <c r="X87" i="1"/>
  <c r="X89" i="1"/>
  <c r="X91" i="1"/>
  <c r="X93" i="1"/>
  <c r="X95" i="1"/>
  <c r="X97" i="1"/>
  <c r="X99" i="1"/>
  <c r="X101" i="1"/>
  <c r="X103" i="1"/>
  <c r="X105" i="1"/>
  <c r="X107" i="1"/>
  <c r="X109" i="1"/>
  <c r="X111" i="1"/>
  <c r="X113" i="1"/>
  <c r="X115" i="1"/>
  <c r="AB12" i="1"/>
  <c r="Z20" i="1"/>
  <c r="Z44" i="1"/>
  <c r="W8" i="1"/>
  <c r="W14" i="1"/>
  <c r="W20" i="1"/>
  <c r="W30" i="1"/>
  <c r="W36" i="1"/>
  <c r="W42" i="1"/>
  <c r="W48" i="1"/>
  <c r="W54" i="1"/>
  <c r="W60" i="1"/>
  <c r="W66" i="1"/>
  <c r="W72" i="1"/>
  <c r="W78" i="1"/>
  <c r="W84" i="1"/>
  <c r="W90" i="1"/>
  <c r="W96" i="1"/>
  <c r="W100" i="1"/>
  <c r="W106" i="1"/>
  <c r="W112" i="1"/>
  <c r="AS13" i="2"/>
  <c r="G31" i="2" l="1"/>
  <c r="N24" i="2"/>
  <c r="K24" i="2"/>
  <c r="L30" i="2" a="1"/>
  <c r="L30" i="2" s="1"/>
  <c r="R30" i="2"/>
  <c r="S30" i="2"/>
  <c r="Q30" i="2"/>
  <c r="V24" i="2"/>
  <c r="S24" i="2"/>
  <c r="J24" i="2"/>
  <c r="L24" i="2" a="1"/>
  <c r="L24" i="2" s="1"/>
  <c r="W30" i="2"/>
  <c r="W24" i="2"/>
  <c r="O24" i="2"/>
  <c r="M24" i="2"/>
  <c r="P30" i="2"/>
  <c r="O30" i="2"/>
  <c r="J30" i="2"/>
  <c r="M30" i="2"/>
  <c r="K30" i="2"/>
  <c r="X30" i="2"/>
  <c r="R24" i="2"/>
  <c r="Y24" i="2"/>
  <c r="X24" i="2"/>
  <c r="V30" i="2"/>
  <c r="Z24" i="2"/>
  <c r="N30" i="2"/>
  <c r="Z30" i="2"/>
  <c r="AA30" i="2"/>
  <c r="Y30" i="2"/>
  <c r="T30" i="2"/>
  <c r="AA24" i="2"/>
  <c r="U24" i="2"/>
  <c r="T24" i="2"/>
  <c r="P24" i="2"/>
  <c r="U30" i="2"/>
  <c r="Q24" i="2"/>
  <c r="J28" i="2"/>
  <c r="J26" i="2"/>
  <c r="J20" i="2"/>
  <c r="J32" i="2"/>
  <c r="BT2" i="1"/>
  <c r="AC24" i="2"/>
  <c r="AE30" i="2"/>
  <c r="AD30" i="2"/>
  <c r="AF30" i="2"/>
  <c r="AE24" i="2"/>
  <c r="AD24" i="2"/>
  <c r="AF24" i="2"/>
  <c r="AB24" i="2"/>
  <c r="AC30" i="2"/>
  <c r="AB30" i="2"/>
  <c r="Z22" i="2"/>
  <c r="V22" i="2"/>
  <c r="R22" i="2"/>
  <c r="J22" i="2"/>
  <c r="S22" i="2"/>
  <c r="Y22" i="2"/>
  <c r="U22" i="2"/>
  <c r="Q22" i="2"/>
  <c r="W22" i="2"/>
  <c r="X22" i="2"/>
  <c r="T22" i="2"/>
  <c r="AA22" i="2"/>
  <c r="AR68" i="2"/>
  <c r="AR50" i="2"/>
  <c r="AR64" i="2"/>
  <c r="AR56" i="2"/>
  <c r="AR58" i="2"/>
  <c r="AR60" i="2"/>
  <c r="AR66" i="2"/>
  <c r="AR54" i="2"/>
  <c r="AR62" i="2"/>
  <c r="C21" i="3"/>
  <c r="C13" i="2"/>
  <c r="BT8" i="1"/>
  <c r="AC10" i="1"/>
  <c r="BT6" i="1"/>
  <c r="AC8" i="1"/>
  <c r="BT10" i="1"/>
  <c r="AC12" i="1"/>
  <c r="AC4" i="1"/>
  <c r="B13" i="2"/>
  <c r="A22" i="3"/>
  <c r="C23" i="3"/>
  <c r="G39" i="2"/>
  <c r="AR21" i="2"/>
  <c r="AG32" i="2" l="1"/>
  <c r="N21" i="3" s="1"/>
  <c r="AG28" i="2"/>
  <c r="N19" i="3" s="1"/>
  <c r="AD5" i="1"/>
  <c r="AD8" i="1"/>
  <c r="AD9" i="1"/>
  <c r="AD13" i="1"/>
  <c r="AD10" i="1"/>
  <c r="AD4" i="1"/>
  <c r="AD11" i="1"/>
  <c r="AD12" i="1"/>
  <c r="AD6" i="1"/>
  <c r="AD7" i="1"/>
  <c r="A23" i="3"/>
  <c r="C25" i="3"/>
  <c r="AR32" i="2"/>
  <c r="G41" i="2"/>
  <c r="AR23" i="2"/>
  <c r="BU23" i="2" s="1"/>
  <c r="A17" i="3"/>
  <c r="AR28" i="2"/>
  <c r="AG52" i="2"/>
  <c r="N31" i="3" s="1"/>
  <c r="AG40" i="2"/>
  <c r="N25" i="3" s="1"/>
  <c r="AG48" i="2"/>
  <c r="N29" i="3" s="1"/>
  <c r="AG44" i="2"/>
  <c r="N27" i="3" s="1"/>
  <c r="AG38" i="2"/>
  <c r="AG42" i="2"/>
  <c r="N26" i="3" s="1"/>
  <c r="AG30" i="2"/>
  <c r="N20" i="3" s="1"/>
  <c r="AG46" i="2"/>
  <c r="AG26" i="2"/>
  <c r="AG36" i="2"/>
  <c r="N23" i="3" s="1"/>
  <c r="AG34" i="2"/>
  <c r="N22" i="3" s="1"/>
  <c r="AG24" i="2"/>
  <c r="AG22" i="2"/>
  <c r="AG20" i="2"/>
  <c r="G43" i="2" l="1"/>
  <c r="G47" i="2"/>
  <c r="C29" i="3" s="1"/>
  <c r="N17" i="3"/>
  <c r="A24" i="3"/>
  <c r="N15" i="3"/>
  <c r="N16" i="3"/>
  <c r="N18" i="3"/>
  <c r="C26" i="3"/>
  <c r="AR38" i="2"/>
  <c r="N24" i="3"/>
  <c r="AR46" i="2"/>
  <c r="N28" i="3"/>
  <c r="AR25" i="2"/>
  <c r="A18" i="3"/>
  <c r="G51" i="2"/>
  <c r="G81" i="2" s="1"/>
  <c r="H81" i="2" s="1"/>
  <c r="AR20" i="2"/>
  <c r="AR34" i="2"/>
  <c r="AR30" i="2"/>
  <c r="AR48" i="2"/>
  <c r="AR24" i="2"/>
  <c r="AR44" i="2"/>
  <c r="AR36" i="2"/>
  <c r="AR42" i="2"/>
  <c r="AR40" i="2"/>
  <c r="AR22" i="2"/>
  <c r="AR26" i="2"/>
  <c r="AR52" i="2"/>
  <c r="AG13" i="2"/>
  <c r="N40" i="3" s="1"/>
  <c r="J76" i="2" l="1"/>
  <c r="G76" i="2"/>
  <c r="C27" i="3"/>
  <c r="AE76" i="2"/>
  <c r="AG76" i="2" s="1"/>
  <c r="AM76" i="2"/>
  <c r="AO76" i="2" s="1"/>
  <c r="K76" i="2"/>
  <c r="N76" i="2"/>
  <c r="O76" i="2"/>
  <c r="Q76" i="2" s="1"/>
  <c r="AA76" i="2"/>
  <c r="AC76" i="2" s="1"/>
  <c r="W76" i="2"/>
  <c r="Y76" i="2" s="1"/>
  <c r="AI76" i="2"/>
  <c r="AK76" i="2" s="1"/>
  <c r="S76" i="2"/>
  <c r="U76" i="2" s="1"/>
  <c r="J81" i="2"/>
  <c r="K81" i="2" s="1"/>
  <c r="AH81" i="2"/>
  <c r="AI81" i="2" s="1"/>
  <c r="M81" i="2"/>
  <c r="N81" i="2" s="1"/>
  <c r="AK81" i="2"/>
  <c r="AL81" i="2" s="1"/>
  <c r="P81" i="2"/>
  <c r="Q81" i="2" s="1"/>
  <c r="AE81" i="2"/>
  <c r="AF81" i="2" s="1"/>
  <c r="V81" i="2"/>
  <c r="W81" i="2" s="1"/>
  <c r="AB81" i="2"/>
  <c r="AC81" i="2" s="1"/>
  <c r="Y81" i="2"/>
  <c r="Z81" i="2" s="1"/>
  <c r="S81" i="2"/>
  <c r="T81" i="2" s="1"/>
  <c r="R76" i="2"/>
  <c r="A25" i="3"/>
  <c r="L81" i="2"/>
  <c r="E81" i="2"/>
  <c r="I81" i="2"/>
  <c r="AG81" i="2"/>
  <c r="AH76" i="2"/>
  <c r="AA81" i="2"/>
  <c r="AD81" i="2"/>
  <c r="U81" i="2"/>
  <c r="AJ81" i="2"/>
  <c r="R81" i="2"/>
  <c r="O81" i="2"/>
  <c r="AM81" i="2"/>
  <c r="X81" i="2"/>
  <c r="Z76" i="2"/>
  <c r="AP76" i="2"/>
  <c r="AD76" i="2"/>
  <c r="V76" i="2"/>
  <c r="AL76" i="2"/>
  <c r="C31" i="3"/>
  <c r="AR29" i="2"/>
  <c r="A20" i="3"/>
  <c r="AR27" i="2"/>
  <c r="A19" i="3"/>
  <c r="AR31" i="2"/>
  <c r="H76" i="2" l="1"/>
  <c r="I76" i="2"/>
  <c r="E76" i="2"/>
  <c r="M76" i="2"/>
  <c r="L76" i="2"/>
  <c r="P76" i="2"/>
  <c r="A26" i="3"/>
  <c r="X76" i="2"/>
  <c r="AN76" i="2"/>
  <c r="AJ76" i="2"/>
  <c r="AF76" i="2"/>
  <c r="T76" i="2"/>
  <c r="AB76" i="2"/>
  <c r="AR33" i="2"/>
  <c r="A27" i="3" l="1"/>
  <c r="AR35" i="2"/>
  <c r="A28" i="3" l="1"/>
  <c r="AR37" i="2"/>
  <c r="A29" i="3" l="1"/>
  <c r="AR39" i="2"/>
  <c r="A30" i="3" l="1"/>
  <c r="AR41" i="2"/>
  <c r="A31" i="3" l="1"/>
  <c r="AR43" i="2"/>
  <c r="A32" i="3" l="1"/>
  <c r="AR45" i="2"/>
  <c r="A33" i="3" l="1"/>
  <c r="AR47" i="2"/>
  <c r="A34" i="3" l="1"/>
  <c r="AR49" i="2"/>
  <c r="A35" i="3" l="1"/>
  <c r="AR51" i="2"/>
  <c r="A36" i="3" l="1"/>
  <c r="AR53" i="2"/>
  <c r="A37" i="3" l="1"/>
  <c r="AR55" i="2"/>
  <c r="A38" i="3" l="1"/>
  <c r="AR57" i="2"/>
  <c r="AR59" i="2" l="1"/>
  <c r="AR61" i="2" l="1"/>
  <c r="AR63" i="2" l="1"/>
  <c r="AR65" i="2" l="1"/>
  <c r="AR67" i="2" l="1"/>
  <c r="A69" i="2" l="1"/>
</calcChain>
</file>

<file path=xl/sharedStrings.xml><?xml version="1.0" encoding="utf-8"?>
<sst xmlns="http://schemas.openxmlformats.org/spreadsheetml/2006/main" count="2418" uniqueCount="1564">
  <si>
    <t>COACH CARD</t>
  </si>
  <si>
    <t>Competition:</t>
  </si>
  <si>
    <t>Event:</t>
  </si>
  <si>
    <t>Male Solo Technical</t>
  </si>
  <si>
    <t>Age group:</t>
  </si>
  <si>
    <t>Seniors 15 -&gt;</t>
  </si>
  <si>
    <t>Name of Competitor(s):</t>
  </si>
  <si>
    <t>ELEMENTS IN ORDER OF PERFORMANCE</t>
  </si>
  <si>
    <t>Events</t>
  </si>
  <si>
    <t>Solo Technical</t>
  </si>
  <si>
    <t>Solo Free</t>
  </si>
  <si>
    <t>Male Solo Free</t>
  </si>
  <si>
    <t>Duet Technical</t>
  </si>
  <si>
    <t>Duet Free</t>
  </si>
  <si>
    <t>Mixed Duet Technical</t>
  </si>
  <si>
    <t>Mixed Duet Free</t>
  </si>
  <si>
    <t>Team Technical</t>
  </si>
  <si>
    <t>Team Free</t>
  </si>
  <si>
    <t>Free Combination</t>
  </si>
  <si>
    <t>Acrobatic</t>
  </si>
  <si>
    <t>Age Group</t>
  </si>
  <si>
    <t>12 and under</t>
  </si>
  <si>
    <t>Youth 13 - 15</t>
  </si>
  <si>
    <t>Juniors 13 - 19</t>
  </si>
  <si>
    <t>Masters 20 -&gt;</t>
  </si>
  <si>
    <t>Parts</t>
  </si>
  <si>
    <t>Hybrid</t>
  </si>
  <si>
    <t>Technical Required Element</t>
  </si>
  <si>
    <t>Transition</t>
  </si>
  <si>
    <t>Hybrids</t>
  </si>
  <si>
    <t>TRE</t>
  </si>
  <si>
    <t>Cadense</t>
  </si>
  <si>
    <t>Technical</t>
  </si>
  <si>
    <t>Group 1/2</t>
  </si>
  <si>
    <t>Event / Age group</t>
  </si>
  <si>
    <t>Solo Free / 12 and under</t>
  </si>
  <si>
    <t>Male Solo Free / 12 and under</t>
  </si>
  <si>
    <t>Duet Free / 12 and under</t>
  </si>
  <si>
    <t>Mixed Duet Free / 12 and under</t>
  </si>
  <si>
    <t>Team Free / 12 and under</t>
  </si>
  <si>
    <t>Free Combination / 12 and under</t>
  </si>
  <si>
    <t>Solo Free / Youth 13 - 15</t>
  </si>
  <si>
    <t>Male Solo Free / Youth 13 - 15</t>
  </si>
  <si>
    <t>Duet Free / Youth 13 - 15</t>
  </si>
  <si>
    <t>Mixed Duet Free / Youth 13 - 15</t>
  </si>
  <si>
    <t>Team Free / Youth 13 - 15</t>
  </si>
  <si>
    <t>Free Combination / Youth 13 - 15</t>
  </si>
  <si>
    <t>Solo Technical / Juniors 13 - 19</t>
  </si>
  <si>
    <t>Male Solo Technical / Juniors 13 - 19</t>
  </si>
  <si>
    <t>Male Solo Free / Juniors 13 - 19</t>
  </si>
  <si>
    <t>Duet Technical / Juniors 13 - 19</t>
  </si>
  <si>
    <t>Duet Free / Juniors 13 - 19</t>
  </si>
  <si>
    <t>Mixed Duet Technical / Juniors 13 - 19</t>
  </si>
  <si>
    <t>Mixed Duet Free / Juniors 13 - 19</t>
  </si>
  <si>
    <t>Team Technical / Juniors 13 - 19</t>
  </si>
  <si>
    <t>Team Free / Juniors 13 - 19</t>
  </si>
  <si>
    <t>Acrobatic / Juniors 13 - 19</t>
  </si>
  <si>
    <t>Solo Technical / Seniors 15 -&gt;</t>
  </si>
  <si>
    <t>Solo Free / Seniors 15 -&gt;</t>
  </si>
  <si>
    <t>Male Solo Technical / Seniors 15 -&gt;</t>
  </si>
  <si>
    <t>Male Solo Free / Seniors 15 -&gt;</t>
  </si>
  <si>
    <t>Duet Technical / Seniors 15 -&gt;</t>
  </si>
  <si>
    <t>Duet Free / Seniors 15 -&gt;</t>
  </si>
  <si>
    <t>Mixed Duet Technical / Seniors 15 -&gt;</t>
  </si>
  <si>
    <t>Mixed Duet Free / Seniors 15 -&gt;</t>
  </si>
  <si>
    <t>Team Technical / Seniors 15 -&gt;</t>
  </si>
  <si>
    <t>Team Free / Seniors 15 -&gt;</t>
  </si>
  <si>
    <t>Acrobatic / Seniors 15 -&gt;</t>
  </si>
  <si>
    <t>Conn.Hybrid</t>
  </si>
  <si>
    <t>Conn.Mov.</t>
  </si>
  <si>
    <t>Thrust Hyb</t>
  </si>
  <si>
    <t>Solo hyb</t>
  </si>
  <si>
    <t>720 hyb</t>
  </si>
  <si>
    <t>Duet hyb</t>
  </si>
  <si>
    <t>Team hyb</t>
  </si>
  <si>
    <t>Time start</t>
  </si>
  <si>
    <t>Time end</t>
  </si>
  <si>
    <t>Min</t>
  </si>
  <si>
    <t>Sec</t>
  </si>
  <si>
    <t>Part</t>
  </si>
  <si>
    <t>Variant</t>
  </si>
  <si>
    <t>H15</t>
  </si>
  <si>
    <t>H15:I15</t>
  </si>
  <si>
    <t>I15</t>
  </si>
  <si>
    <t>Elements to use</t>
  </si>
  <si>
    <t>Used elements</t>
  </si>
  <si>
    <t>Trans.</t>
  </si>
  <si>
    <t>Acrob</t>
  </si>
  <si>
    <t>Conn.M</t>
  </si>
  <si>
    <t>Time</t>
  </si>
  <si>
    <t>Total time:</t>
  </si>
  <si>
    <t>Base Mark</t>
  </si>
  <si>
    <t>Element
number</t>
  </si>
  <si>
    <t>Total</t>
  </si>
  <si>
    <t>Sum</t>
  </si>
  <si>
    <t>Routine total:</t>
  </si>
  <si>
    <t>DECLARED DIFFICULTY</t>
  </si>
  <si>
    <t>BONUS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</si>
  <si>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</si>
  <si>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</si>
  <si>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</si>
  <si>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</si>
  <si>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</si>
  <si>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</si>
  <si>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</si>
  <si>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</si>
  <si>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</si>
  <si>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T1*0.5</t>
  </si>
  <si>
    <t>T2*0.5</t>
  </si>
  <si>
    <t>T3*0.5</t>
  </si>
  <si>
    <t>T4*0.5</t>
  </si>
  <si>
    <t>T5*0.5</t>
  </si>
  <si>
    <t>T6*0.5</t>
  </si>
  <si>
    <t>T7*0.5</t>
  </si>
  <si>
    <t>T8*0.5</t>
  </si>
  <si>
    <t>T9*0.5</t>
  </si>
  <si>
    <t>T1*0.3</t>
  </si>
  <si>
    <t>T2*0.3</t>
  </si>
  <si>
    <t>T3*0.3</t>
  </si>
  <si>
    <t>T4*0.3</t>
  </si>
  <si>
    <t>T5*0.3</t>
  </si>
  <si>
    <t>T6*0.3</t>
  </si>
  <si>
    <t>T7*0.3</t>
  </si>
  <si>
    <t>T8*0.3</t>
  </si>
  <si>
    <t>T9*0.3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</si>
  <si>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</si>
  <si>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</si>
  <si>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</si>
  <si>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</si>
  <si>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</si>
  <si>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</si>
  <si>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</si>
  <si>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</si>
  <si>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</si>
  <si>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R1*0.5</t>
  </si>
  <si>
    <t>R2*0.5</t>
  </si>
  <si>
    <t>R3*0.5</t>
  </si>
  <si>
    <t>R4*0.5</t>
  </si>
  <si>
    <t>R5*0.5</t>
  </si>
  <si>
    <t>R6*0.5</t>
  </si>
  <si>
    <t>R7*0.5</t>
  </si>
  <si>
    <t>R8*0.5</t>
  </si>
  <si>
    <t>R9*0.5</t>
  </si>
  <si>
    <t>R1*0.3</t>
  </si>
  <si>
    <t>R2*0.3</t>
  </si>
  <si>
    <t>R3*0.3</t>
  </si>
  <si>
    <t>R4*0.3</t>
  </si>
  <si>
    <t>R5*0.3</t>
  </si>
  <si>
    <t>R6*0.3</t>
  </si>
  <si>
    <t>R7*0.3</t>
  </si>
  <si>
    <t>R8*0.3</t>
  </si>
  <si>
    <t>R9*0.3</t>
  </si>
  <si>
    <t>F1</t>
  </si>
  <si>
    <t>F2</t>
  </si>
  <si>
    <t>F3</t>
  </si>
  <si>
    <t>F4</t>
  </si>
  <si>
    <t>F5</t>
  </si>
  <si>
    <t>F6</t>
  </si>
  <si>
    <t>F1*0.5</t>
  </si>
  <si>
    <t>F2*0.5</t>
  </si>
  <si>
    <t>F3*0.5</t>
  </si>
  <si>
    <t>F4*0.5</t>
  </si>
  <si>
    <t>F5*0.5</t>
  </si>
  <si>
    <t>F6*0.5</t>
  </si>
  <si>
    <t>F1*0.3</t>
  </si>
  <si>
    <t>F2*0.3</t>
  </si>
  <si>
    <t>F3*0.3</t>
  </si>
  <si>
    <t>F4*0.3</t>
  </si>
  <si>
    <t>F5*0.3</t>
  </si>
  <si>
    <t>F6*0.3</t>
  </si>
  <si>
    <t>AW1</t>
  </si>
  <si>
    <t>AW2</t>
  </si>
  <si>
    <t>AW3</t>
  </si>
  <si>
    <t>AW4</t>
  </si>
  <si>
    <t>AW5</t>
  </si>
  <si>
    <t>AW6</t>
  </si>
  <si>
    <t>AW7</t>
  </si>
  <si>
    <t>AW1*0.5</t>
  </si>
  <si>
    <t>AW2*0.5</t>
  </si>
  <si>
    <t>AW3*0.5</t>
  </si>
  <si>
    <t>AW4*0.5</t>
  </si>
  <si>
    <t>AW5*0.5</t>
  </si>
  <si>
    <t>AW6*0.5</t>
  </si>
  <si>
    <t>AW7*0.5</t>
  </si>
  <si>
    <t>AW1*0.3</t>
  </si>
  <si>
    <t>AW2*0.3</t>
  </si>
  <si>
    <t>AW3*0.3</t>
  </si>
  <si>
    <t>AW4*0.3</t>
  </si>
  <si>
    <t>AW5*0.3</t>
  </si>
  <si>
    <t>AW6*0.3</t>
  </si>
  <si>
    <t>AW7*0.3</t>
  </si>
  <si>
    <t>C1</t>
  </si>
  <si>
    <t>C2</t>
  </si>
  <si>
    <t>C3</t>
  </si>
  <si>
    <t>C4</t>
  </si>
  <si>
    <t>C5</t>
  </si>
  <si>
    <t>C6</t>
  </si>
  <si>
    <t>C1*0.5</t>
  </si>
  <si>
    <t>C2*0.5</t>
  </si>
  <si>
    <t>C3*0.5</t>
  </si>
  <si>
    <t>C4*0.5</t>
  </si>
  <si>
    <t>C5*0.5</t>
  </si>
  <si>
    <t>C6*0.5</t>
  </si>
  <si>
    <t>C1*0.3</t>
  </si>
  <si>
    <t>C2*0.3</t>
  </si>
  <si>
    <t>C3*0.3</t>
  </si>
  <si>
    <t>C4*0.3</t>
  </si>
  <si>
    <t>C5*0.3</t>
  </si>
  <si>
    <t>C6*0.3</t>
  </si>
  <si>
    <t>DD code</t>
  </si>
  <si>
    <t>DD value</t>
  </si>
  <si>
    <t>Bonus code</t>
  </si>
  <si>
    <t>Bonus value</t>
  </si>
  <si>
    <t>TR</t>
  </si>
  <si>
    <t>TR*0.5</t>
  </si>
  <si>
    <t>TR*0.3</t>
  </si>
  <si>
    <t>PL</t>
  </si>
  <si>
    <t>PL*0.5</t>
  </si>
  <si>
    <t>PL*0.3</t>
  </si>
  <si>
    <t>SY-P</t>
  </si>
  <si>
    <t>SY-P*0.5</t>
  </si>
  <si>
    <t>SY-P*0.3</t>
  </si>
  <si>
    <t>2SY-P</t>
  </si>
  <si>
    <t>2SY-P*0.5</t>
  </si>
  <si>
    <t>2SY-P*0.3</t>
  </si>
  <si>
    <t>SY-F</t>
  </si>
  <si>
    <t>SY-F*0.5</t>
  </si>
  <si>
    <t>SY-F*0.3</t>
  </si>
  <si>
    <t>TRE code</t>
  </si>
  <si>
    <t>TRE value</t>
  </si>
  <si>
    <t>1a</t>
  </si>
  <si>
    <t>Solo</t>
  </si>
  <si>
    <t>Duet</t>
  </si>
  <si>
    <t>Mixed</t>
  </si>
  <si>
    <t>Team</t>
  </si>
  <si>
    <t>1b</t>
  </si>
  <si>
    <t>2a</t>
  </si>
  <si>
    <t>2b</t>
  </si>
  <si>
    <t>4a</t>
  </si>
  <si>
    <t>4b</t>
  </si>
  <si>
    <t>5a</t>
  </si>
  <si>
    <t>5b</t>
  </si>
  <si>
    <t>3a</t>
  </si>
  <si>
    <t>3b</t>
  </si>
  <si>
    <t>1PC</t>
  </si>
  <si>
    <t>2PC</t>
  </si>
  <si>
    <t>3PC</t>
  </si>
  <si>
    <t>4PC</t>
  </si>
  <si>
    <t>5PC</t>
  </si>
  <si>
    <t>6PC</t>
  </si>
  <si>
    <t>1PC*0.5</t>
  </si>
  <si>
    <t>2PC*0.5</t>
  </si>
  <si>
    <t>3PC*0.5</t>
  </si>
  <si>
    <t>4PC*0.5</t>
  </si>
  <si>
    <t>5PC*0.5</t>
  </si>
  <si>
    <t>6PC*0.5</t>
  </si>
  <si>
    <t>1PC*0.3</t>
  </si>
  <si>
    <t>2PC*0.3</t>
  </si>
  <si>
    <t>3PC*0.3</t>
  </si>
  <si>
    <t>4PC*0.3</t>
  </si>
  <si>
    <t>5PC*0.3</t>
  </si>
  <si>
    <t>6PC*0.3</t>
  </si>
  <si>
    <t>S/D/T</t>
  </si>
  <si>
    <t>L-value</t>
  </si>
  <si>
    <t>L-code</t>
  </si>
  <si>
    <t>L</t>
  </si>
  <si>
    <t>L!r0,5</t>
  </si>
  <si>
    <t>L!</t>
  </si>
  <si>
    <t>Lr0,5</t>
  </si>
  <si>
    <t>SL&gt;</t>
  </si>
  <si>
    <t>Lfr0,5</t>
  </si>
  <si>
    <t>L!f</t>
  </si>
  <si>
    <t>SL!&gt;</t>
  </si>
  <si>
    <t>Lr1</t>
  </si>
  <si>
    <t>J</t>
  </si>
  <si>
    <t>L!r1</t>
  </si>
  <si>
    <t>L!fr0,5</t>
  </si>
  <si>
    <t>SL!f&gt;</t>
  </si>
  <si>
    <t>SL!r0,5&gt;</t>
  </si>
  <si>
    <t>SL!r1&gt;</t>
  </si>
  <si>
    <t>Jr0,5</t>
  </si>
  <si>
    <t>Jf</t>
  </si>
  <si>
    <t>L!fr1</t>
  </si>
  <si>
    <t>SL!fr0,5&gt;</t>
  </si>
  <si>
    <t>SL!fr1&gt;</t>
  </si>
  <si>
    <t>W!r0,5</t>
  </si>
  <si>
    <t>W!f</t>
  </si>
  <si>
    <t>Jd</t>
  </si>
  <si>
    <t>W!s0,5</t>
  </si>
  <si>
    <t>W!fr0,5</t>
  </si>
  <si>
    <t>W!fr1</t>
  </si>
  <si>
    <t>Js1F</t>
  </si>
  <si>
    <t>Jfs1B</t>
  </si>
  <si>
    <t>W!s1F</t>
  </si>
  <si>
    <t>A-code</t>
  </si>
  <si>
    <t>A-value</t>
  </si>
  <si>
    <t>AJ</t>
  </si>
  <si>
    <t>AW</t>
  </si>
  <si>
    <t>Team AJ/AW</t>
  </si>
  <si>
    <t>Surf</t>
  </si>
  <si>
    <t>BS</t>
  </si>
  <si>
    <t>BL</t>
  </si>
  <si>
    <t>Team BS/BL</t>
  </si>
  <si>
    <t>B-code</t>
  </si>
  <si>
    <t>B-value</t>
  </si>
  <si>
    <t>St</t>
  </si>
  <si>
    <t>Team CO/CT/CC</t>
  </si>
  <si>
    <t>C-code</t>
  </si>
  <si>
    <t>C-value</t>
  </si>
  <si>
    <t>CO</t>
  </si>
  <si>
    <t>CT</t>
  </si>
  <si>
    <t>CC</t>
  </si>
  <si>
    <t>Thr~St</t>
  </si>
  <si>
    <t>Team PP/PF</t>
  </si>
  <si>
    <t>P-code</t>
  </si>
  <si>
    <t>P-value</t>
  </si>
  <si>
    <t>PP</t>
  </si>
  <si>
    <t>PF</t>
  </si>
  <si>
    <t>P</t>
  </si>
  <si>
    <t>p</t>
  </si>
  <si>
    <t>Knees</t>
  </si>
  <si>
    <t>B</t>
  </si>
  <si>
    <t>DB</t>
  </si>
  <si>
    <t>a</t>
  </si>
  <si>
    <t>Chariot</t>
  </si>
  <si>
    <t>Box</t>
  </si>
  <si>
    <t>2SupB</t>
  </si>
  <si>
    <t>2SupBB</t>
  </si>
  <si>
    <t>2Sup</t>
  </si>
  <si>
    <t>Triangle</t>
  </si>
  <si>
    <t>Rhombus</t>
  </si>
  <si>
    <t>Star</t>
  </si>
  <si>
    <t>Star6</t>
  </si>
  <si>
    <t>Star7</t>
  </si>
  <si>
    <t>Hand</t>
  </si>
  <si>
    <t>(2)</t>
  </si>
  <si>
    <t>Compass</t>
  </si>
  <si>
    <t>hand</t>
  </si>
  <si>
    <t>Fo</t>
  </si>
  <si>
    <t>Carp</t>
  </si>
  <si>
    <t>Carp4</t>
  </si>
  <si>
    <t>P4l</t>
  </si>
  <si>
    <t>'&gt;StSh&gt;</t>
  </si>
  <si>
    <t>‘&gt;’H&gt;</t>
  </si>
  <si>
    <t>‘~St&gt;</t>
  </si>
  <si>
    <t>‘&gt;Stsh</t>
  </si>
  <si>
    <t>‘~St</t>
  </si>
  <si>
    <t>‘~St*</t>
  </si>
  <si>
    <t>‘&gt;StH&gt;</t>
  </si>
  <si>
    <t>‘&gt;’&gt;</t>
  </si>
  <si>
    <t>Thr&gt;PP&gt;</t>
  </si>
  <si>
    <t>‘&gt;P&gt;</t>
  </si>
  <si>
    <t>Thr&gt;Pb₃&gt;</t>
  </si>
  <si>
    <t>Roll&gt;P&gt;</t>
  </si>
  <si>
    <t>St&gt;Stp</t>
  </si>
  <si>
    <t>Thr&gt;StH</t>
  </si>
  <si>
    <t>‘↷L</t>
  </si>
  <si>
    <t>St&gt;’H&gt;</t>
  </si>
  <si>
    <t>‘&gt;StSt&gt;</t>
  </si>
  <si>
    <t>Thr&gt;P</t>
  </si>
  <si>
    <t>L’</t>
  </si>
  <si>
    <t>St+Thr(2)</t>
  </si>
  <si>
    <t>Sn</t>
  </si>
  <si>
    <t>SnH</t>
  </si>
  <si>
    <t>St&gt;St&gt;</t>
  </si>
  <si>
    <t>St’’</t>
  </si>
  <si>
    <t>‘&gt;Stm</t>
  </si>
  <si>
    <t>Thr~St&gt;</t>
  </si>
  <si>
    <t>&gt;HandSurf&gt;</t>
  </si>
  <si>
    <t>‘&gt;L&gt;</t>
  </si>
  <si>
    <t>Toss&gt;hand&gt;</t>
  </si>
  <si>
    <t>Thr&gt;3head&gt;</t>
  </si>
  <si>
    <t>(2)Thr &gt;hand&gt;</t>
  </si>
  <si>
    <t>Thr&gt;Pb²&gt;</t>
  </si>
  <si>
    <t>‘&gt;Stp</t>
  </si>
  <si>
    <t>L&gt;hand</t>
  </si>
  <si>
    <t>st</t>
  </si>
  <si>
    <t>StH</t>
  </si>
  <si>
    <t>stH</t>
  </si>
  <si>
    <t>StH’</t>
  </si>
  <si>
    <t>StH’’</t>
  </si>
  <si>
    <t>StHt</t>
  </si>
  <si>
    <t>St’</t>
  </si>
  <si>
    <t>St’’Hp</t>
  </si>
  <si>
    <t>St’’Hc</t>
  </si>
  <si>
    <t>2SupH</t>
  </si>
  <si>
    <t>2mSup</t>
  </si>
  <si>
    <t>Ꞁ</t>
  </si>
  <si>
    <t>StH’’’</t>
  </si>
  <si>
    <t>Lh</t>
  </si>
  <si>
    <t>LM</t>
  </si>
  <si>
    <t>Lmu</t>
  </si>
  <si>
    <t>L(2)</t>
  </si>
  <si>
    <t>Lh(2)</t>
  </si>
  <si>
    <t>L’’</t>
  </si>
  <si>
    <t>LMp</t>
  </si>
  <si>
    <t>LSurf</t>
  </si>
  <si>
    <t>L»</t>
  </si>
  <si>
    <t>2Sup»</t>
  </si>
  <si>
    <t>Lh²*</t>
  </si>
  <si>
    <t>St»</t>
  </si>
  <si>
    <t>Trin</t>
  </si>
  <si>
    <t>St’’Hs</t>
  </si>
  <si>
    <t>Forw</t>
  </si>
  <si>
    <t>Back</t>
  </si>
  <si>
    <t>FORW</t>
  </si>
  <si>
    <t>Side</t>
  </si>
  <si>
    <t>Up</t>
  </si>
  <si>
    <t>Rev</t>
  </si>
  <si>
    <t>SiA</t>
  </si>
  <si>
    <t>F2A</t>
  </si>
  <si>
    <t>3pA</t>
  </si>
  <si>
    <t>3pA/</t>
  </si>
  <si>
    <t>FA</t>
  </si>
  <si>
    <t>HA</t>
  </si>
  <si>
    <t>Go</t>
  </si>
  <si>
    <t>H+L</t>
  </si>
  <si>
    <t>AA</t>
  </si>
  <si>
    <t>FP+FK</t>
  </si>
  <si>
    <t>SP+K</t>
  </si>
  <si>
    <t>AK/</t>
  </si>
  <si>
    <t>Br1K</t>
  </si>
  <si>
    <t>3pK/</t>
  </si>
  <si>
    <t>F2Ɔb</t>
  </si>
  <si>
    <t>F2Ɔ+H</t>
  </si>
  <si>
    <t>YY</t>
  </si>
  <si>
    <t>SiF+FB</t>
  </si>
  <si>
    <t>FA+PF</t>
  </si>
  <si>
    <t>SiF+FP</t>
  </si>
  <si>
    <t>SiF/</t>
  </si>
  <si>
    <t>BF+Le</t>
  </si>
  <si>
    <t>SP+L</t>
  </si>
  <si>
    <t>SP+KF</t>
  </si>
  <si>
    <t>F2A+PF</t>
  </si>
  <si>
    <t>4pF/</t>
  </si>
  <si>
    <t>SiFb/</t>
  </si>
  <si>
    <t>PF+FP</t>
  </si>
  <si>
    <t>SF/</t>
  </si>
  <si>
    <t>PL+LP</t>
  </si>
  <si>
    <t>PA3*</t>
  </si>
  <si>
    <t>4pA3*</t>
  </si>
  <si>
    <t>BrH</t>
  </si>
  <si>
    <t>3pH</t>
  </si>
  <si>
    <t>ShH</t>
  </si>
  <si>
    <t>F2H</t>
  </si>
  <si>
    <t>AH</t>
  </si>
  <si>
    <t>3pA2</t>
  </si>
  <si>
    <t>Br1A2</t>
  </si>
  <si>
    <t>FA2+PF</t>
  </si>
  <si>
    <t>F2A2+PF</t>
  </si>
  <si>
    <t>FB2+PF+KF</t>
  </si>
  <si>
    <t>F2B2+PF+PF</t>
  </si>
  <si>
    <t>F2A2</t>
  </si>
  <si>
    <t>4pA2</t>
  </si>
  <si>
    <t>FSh</t>
  </si>
  <si>
    <t>SiSh</t>
  </si>
  <si>
    <t>2LSh</t>
  </si>
  <si>
    <t>F1H</t>
  </si>
  <si>
    <t>ps</t>
  </si>
  <si>
    <t>psl</t>
  </si>
  <si>
    <t>PPx</t>
  </si>
  <si>
    <t>FPx</t>
  </si>
  <si>
    <t>FP</t>
  </si>
  <si>
    <t>FF</t>
  </si>
  <si>
    <t>SiSb</t>
  </si>
  <si>
    <t>Bp</t>
  </si>
  <si>
    <t>ShF</t>
  </si>
  <si>
    <t>E</t>
  </si>
  <si>
    <t>I</t>
  </si>
  <si>
    <t>PH/</t>
  </si>
  <si>
    <t>Li4H</t>
  </si>
  <si>
    <t>W</t>
  </si>
  <si>
    <t>Py</t>
  </si>
  <si>
    <t>AP</t>
  </si>
  <si>
    <t>ShF*</t>
  </si>
  <si>
    <t>Su</t>
  </si>
  <si>
    <t>Ta</t>
  </si>
  <si>
    <t>SiS</t>
  </si>
  <si>
    <t>F1S</t>
  </si>
  <si>
    <t>FS</t>
  </si>
  <si>
    <t>F1S/</t>
  </si>
  <si>
    <t>Le</t>
  </si>
  <si>
    <t>Li</t>
  </si>
  <si>
    <t>Ch</t>
  </si>
  <si>
    <t>Tw</t>
  </si>
  <si>
    <t>Tw*</t>
  </si>
  <si>
    <t>AV</t>
  </si>
  <si>
    <t>AF*</t>
  </si>
  <si>
    <t>SpSp</t>
  </si>
  <si>
    <t>SiF</t>
  </si>
  <si>
    <t>BBb</t>
  </si>
  <si>
    <t>Li*</t>
  </si>
  <si>
    <t>SiV</t>
  </si>
  <si>
    <t>AP/</t>
  </si>
  <si>
    <t>PH*</t>
  </si>
  <si>
    <t>FHP/</t>
  </si>
  <si>
    <t>FF*</t>
  </si>
  <si>
    <t>AL/</t>
  </si>
  <si>
    <t>FP*</t>
  </si>
  <si>
    <t>SiF*</t>
  </si>
  <si>
    <t>AP\</t>
  </si>
  <si>
    <t>ld</t>
  </si>
  <si>
    <t>he</t>
  </si>
  <si>
    <t>2he</t>
  </si>
  <si>
    <t>cr</t>
  </si>
  <si>
    <t>2cr</t>
  </si>
  <si>
    <t>kr</t>
  </si>
  <si>
    <t>vs</t>
  </si>
  <si>
    <t>2kr</t>
  </si>
  <si>
    <t>2vs</t>
  </si>
  <si>
    <t>sw</t>
  </si>
  <si>
    <t>2sw</t>
  </si>
  <si>
    <t>gl</t>
  </si>
  <si>
    <t>2gl</t>
  </si>
  <si>
    <t>ba</t>
  </si>
  <si>
    <t>2ba</t>
  </si>
  <si>
    <t>ea</t>
  </si>
  <si>
    <t>2ea</t>
  </si>
  <si>
    <t>sa</t>
  </si>
  <si>
    <t>2sa</t>
  </si>
  <si>
    <t>ne</t>
  </si>
  <si>
    <t>2ne</t>
  </si>
  <si>
    <t>ey</t>
  </si>
  <si>
    <t>2ey</t>
  </si>
  <si>
    <t>ln</t>
  </si>
  <si>
    <t>2ln</t>
  </si>
  <si>
    <t>do</t>
  </si>
  <si>
    <t>2do</t>
  </si>
  <si>
    <t>si</t>
  </si>
  <si>
    <t>2si</t>
  </si>
  <si>
    <t>mo</t>
  </si>
  <si>
    <t>2mo</t>
  </si>
  <si>
    <t>sh</t>
  </si>
  <si>
    <t>2sh</t>
  </si>
  <si>
    <t>spl</t>
  </si>
  <si>
    <t>pe</t>
  </si>
  <si>
    <t>2pe</t>
  </si>
  <si>
    <t>cd</t>
  </si>
  <si>
    <t>2cd</t>
  </si>
  <si>
    <t>sc</t>
  </si>
  <si>
    <t>2sc</t>
  </si>
  <si>
    <t>pt</t>
  </si>
  <si>
    <t>2pt</t>
  </si>
  <si>
    <t>co</t>
  </si>
  <si>
    <t>2co</t>
  </si>
  <si>
    <t>mr</t>
  </si>
  <si>
    <t>2mr</t>
  </si>
  <si>
    <t>sb</t>
  </si>
  <si>
    <t>2sb</t>
  </si>
  <si>
    <t>bi</t>
  </si>
  <si>
    <t>2bi</t>
  </si>
  <si>
    <t>fl</t>
  </si>
  <si>
    <t>2fl</t>
  </si>
  <si>
    <t>so</t>
  </si>
  <si>
    <t>2so</t>
  </si>
  <si>
    <t>tu</t>
  </si>
  <si>
    <t>2tu</t>
  </si>
  <si>
    <t>se</t>
  </si>
  <si>
    <t>2se</t>
  </si>
  <si>
    <t>ro</t>
  </si>
  <si>
    <t>2ro</t>
  </si>
  <si>
    <t>lp</t>
  </si>
  <si>
    <t>2lp</t>
  </si>
  <si>
    <t>bo</t>
  </si>
  <si>
    <t>2bo</t>
  </si>
  <si>
    <t>bb</t>
  </si>
  <si>
    <t>2bb</t>
  </si>
  <si>
    <t>kn</t>
  </si>
  <si>
    <t>2kn</t>
  </si>
  <si>
    <t>be</t>
  </si>
  <si>
    <t>2be</t>
  </si>
  <si>
    <t>to</t>
  </si>
  <si>
    <t>2to</t>
  </si>
  <si>
    <t>ow</t>
  </si>
  <si>
    <t>2ow</t>
  </si>
  <si>
    <t>br</t>
  </si>
  <si>
    <t>2br</t>
  </si>
  <si>
    <t>dr</t>
  </si>
  <si>
    <t>2dr</t>
  </si>
  <si>
    <t>qu</t>
  </si>
  <si>
    <t>2qu</t>
  </si>
  <si>
    <t>Thr</t>
  </si>
  <si>
    <t>Shou</t>
  </si>
  <si>
    <t>Sho</t>
  </si>
  <si>
    <t>Feet</t>
  </si>
  <si>
    <t>Sq</t>
  </si>
  <si>
    <t>2Form</t>
  </si>
  <si>
    <t>2Sup’</t>
  </si>
  <si>
    <t>Tripl</t>
  </si>
  <si>
    <t>3Pair</t>
  </si>
  <si>
    <t>surf</t>
  </si>
  <si>
    <t>feet</t>
  </si>
  <si>
    <t>ki</t>
  </si>
  <si>
    <t>2ki</t>
  </si>
  <si>
    <t>tk</t>
  </si>
  <si>
    <t>2tk</t>
  </si>
  <si>
    <t>pa</t>
  </si>
  <si>
    <t>2pa</t>
  </si>
  <si>
    <t>nj</t>
  </si>
  <si>
    <t>2nj</t>
  </si>
  <si>
    <t>pk</t>
  </si>
  <si>
    <t>2pk</t>
  </si>
  <si>
    <t>mn</t>
  </si>
  <si>
    <t>2mn</t>
  </si>
  <si>
    <t>sp</t>
  </si>
  <si>
    <t>2sp</t>
  </si>
  <si>
    <t>ar</t>
  </si>
  <si>
    <t>2ar</t>
  </si>
  <si>
    <t>kt</t>
  </si>
  <si>
    <t>2kt</t>
  </si>
  <si>
    <t>ma</t>
  </si>
  <si>
    <t>2ma</t>
  </si>
  <si>
    <t>ja</t>
  </si>
  <si>
    <t>2ja</t>
  </si>
  <si>
    <t>rg</t>
  </si>
  <si>
    <t>2rg</t>
  </si>
  <si>
    <t>T0,5</t>
  </si>
  <si>
    <t>T1,5</t>
  </si>
  <si>
    <t>t0,5</t>
  </si>
  <si>
    <t>t1</t>
  </si>
  <si>
    <t>t1,5</t>
  </si>
  <si>
    <t>t2</t>
  </si>
  <si>
    <t>s0,5</t>
  </si>
  <si>
    <t>S0,5</t>
  </si>
  <si>
    <t>s1</t>
  </si>
  <si>
    <t>s1,5</t>
  </si>
  <si>
    <t>s2</t>
  </si>
  <si>
    <t>s2,5</t>
  </si>
  <si>
    <t>s3</t>
  </si>
  <si>
    <t>h</t>
  </si>
  <si>
    <t>f1</t>
  </si>
  <si>
    <t>f1,5</t>
  </si>
  <si>
    <t>f2</t>
  </si>
  <si>
    <t>c</t>
  </si>
  <si>
    <t>d</t>
  </si>
  <si>
    <t>dt0,5</t>
  </si>
  <si>
    <t>dt1,5</t>
  </si>
  <si>
    <t>S0,5t0,5</t>
  </si>
  <si>
    <t>s1t0,5</t>
  </si>
  <si>
    <t>s1t1</t>
  </si>
  <si>
    <t>s1t1,5</t>
  </si>
  <si>
    <t>s1t2</t>
  </si>
  <si>
    <t>s1t2,5</t>
  </si>
  <si>
    <t>s2t0,5</t>
  </si>
  <si>
    <t>s2t1</t>
  </si>
  <si>
    <t>u1</t>
  </si>
  <si>
    <t>u2</t>
  </si>
  <si>
    <t>u3</t>
  </si>
  <si>
    <t>u4</t>
  </si>
  <si>
    <t>u5</t>
  </si>
  <si>
    <t>u6</t>
  </si>
  <si>
    <t>u7</t>
  </si>
  <si>
    <t>u8</t>
  </si>
  <si>
    <t>u9</t>
  </si>
  <si>
    <t>u10</t>
  </si>
  <si>
    <t>u11</t>
  </si>
  <si>
    <t>u12</t>
  </si>
  <si>
    <t>u13</t>
  </si>
  <si>
    <t>u14</t>
  </si>
  <si>
    <t>u15</t>
  </si>
  <si>
    <t>u16</t>
  </si>
  <si>
    <t>r0,5</t>
  </si>
  <si>
    <t>R0,5</t>
  </si>
  <si>
    <t>r0,5*</t>
  </si>
  <si>
    <t>r0,5!</t>
  </si>
  <si>
    <t>r0,5L</t>
  </si>
  <si>
    <t>r1</t>
  </si>
  <si>
    <t>r1*</t>
  </si>
  <si>
    <t>r1!</t>
  </si>
  <si>
    <t>r1L</t>
  </si>
  <si>
    <t>r1,5</t>
  </si>
  <si>
    <t>R1,5</t>
  </si>
  <si>
    <t>r1,5!</t>
  </si>
  <si>
    <t>r2</t>
  </si>
  <si>
    <t>r2*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</si>
  <si>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</si>
  <si>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</si>
  <si>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</si>
  <si>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</si>
  <si>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</si>
  <si>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</si>
  <si>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</si>
  <si>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</si>
  <si>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</si>
  <si>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</si>
  <si>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</si>
  <si>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w12</t>
  </si>
  <si>
    <t>w13</t>
  </si>
  <si>
    <t>w14</t>
  </si>
  <si>
    <t>w15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</si>
  <si>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</si>
  <si>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</si>
  <si>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</si>
  <si>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</si>
  <si>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</si>
  <si>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</si>
  <si>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</si>
  <si>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</si>
  <si>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</si>
  <si>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</si>
  <si>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y11</t>
  </si>
  <si>
    <t>y12</t>
  </si>
  <si>
    <t>y13</t>
  </si>
  <si>
    <t>y14</t>
  </si>
  <si>
    <t>y15</t>
  </si>
  <si>
    <t>R/</t>
  </si>
  <si>
    <t>R/*</t>
  </si>
  <si>
    <t>R/l</t>
  </si>
  <si>
    <t>R0,5h</t>
  </si>
  <si>
    <t>R0,5l</t>
  </si>
  <si>
    <t>R1*</t>
  </si>
  <si>
    <t>R1h</t>
  </si>
  <si>
    <t>j1</t>
  </si>
  <si>
    <t>j2</t>
  </si>
  <si>
    <t>j3</t>
  </si>
  <si>
    <t>j4</t>
  </si>
  <si>
    <t>j5</t>
  </si>
  <si>
    <t>j6</t>
  </si>
  <si>
    <t>j7</t>
  </si>
  <si>
    <t>j8</t>
  </si>
  <si>
    <t>j9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</si>
  <si>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</si>
  <si>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</si>
  <si>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</si>
  <si>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</si>
  <si>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</si>
  <si>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</si>
  <si>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</si>
  <si>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</si>
  <si>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</si>
  <si>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</si>
  <si>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</si>
  <si>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</si>
  <si>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</si>
  <si>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</si>
  <si>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</si>
  <si>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j25</t>
  </si>
  <si>
    <t>r/L</t>
  </si>
  <si>
    <t>Acrobatic Airborn</t>
  </si>
  <si>
    <t>Acrobatic Lift/Stack</t>
  </si>
  <si>
    <t>Acrobatic Combined</t>
  </si>
  <si>
    <t>Acrobatic Platform</t>
  </si>
  <si>
    <t>Hybrid - Duet</t>
  </si>
  <si>
    <t>Hybrid - Solo</t>
  </si>
  <si>
    <t>Hybrid - Team</t>
  </si>
  <si>
    <t>Hybrid - Thrust</t>
  </si>
  <si>
    <t>Hybrid - 720</t>
  </si>
  <si>
    <t>Hybrid - Connected</t>
  </si>
  <si>
    <t>DD-J</t>
  </si>
  <si>
    <t>DD-K</t>
  </si>
  <si>
    <t>DD-L</t>
  </si>
  <si>
    <t>DD-M</t>
  </si>
  <si>
    <t>DD-N</t>
  </si>
  <si>
    <t>DD-O</t>
  </si>
  <si>
    <t>DD-P</t>
  </si>
  <si>
    <t>DD-Q</t>
  </si>
  <si>
    <t>DD-R</t>
  </si>
  <si>
    <t>Last
(X)</t>
  </si>
  <si>
    <t>pi</t>
  </si>
  <si>
    <t>2pi</t>
  </si>
  <si>
    <t>wi</t>
  </si>
  <si>
    <t>2wi</t>
  </si>
  <si>
    <t>2ld</t>
  </si>
  <si>
    <t>2spl</t>
  </si>
  <si>
    <t>Saftey limit</t>
  </si>
  <si>
    <t>Hybrid - Cadence</t>
  </si>
  <si>
    <t>Acrobatic Balance</t>
  </si>
  <si>
    <t>H.Conn.</t>
  </si>
  <si>
    <t>H.Thrust</t>
  </si>
  <si>
    <t>H.720</t>
  </si>
  <si>
    <t>H.Solo</t>
  </si>
  <si>
    <t>H.Duet</t>
  </si>
  <si>
    <t>H.Team</t>
  </si>
  <si>
    <t>H.Cad.</t>
  </si>
  <si>
    <t>T!d</t>
  </si>
  <si>
    <t>Hybrid - Thrust - X</t>
  </si>
  <si>
    <t>Hybrid - 720 - X</t>
  </si>
  <si>
    <t>Connected Surface Movment</t>
  </si>
  <si>
    <t>N</t>
  </si>
  <si>
    <t>Y</t>
  </si>
  <si>
    <t>Technical:</t>
  </si>
  <si>
    <t>Free:</t>
  </si>
  <si>
    <t>Elem.1</t>
  </si>
  <si>
    <t>H/T/A</t>
  </si>
  <si>
    <t>B.M.</t>
  </si>
  <si>
    <t>Value</t>
  </si>
  <si>
    <t>Elem.2</t>
  </si>
  <si>
    <t>Elem.3</t>
  </si>
  <si>
    <t>Elem.4</t>
  </si>
  <si>
    <t>Elem.5</t>
  </si>
  <si>
    <t>Elem.6</t>
  </si>
  <si>
    <t>Elem.7</t>
  </si>
  <si>
    <t>Elem.8</t>
  </si>
  <si>
    <t>Elem.9</t>
  </si>
  <si>
    <t>Elem.10</t>
  </si>
  <si>
    <t>Elem.11</t>
  </si>
  <si>
    <t>ThrSt</t>
  </si>
  <si>
    <t>‘St&gt;</t>
  </si>
  <si>
    <t>‘St</t>
  </si>
  <si>
    <t>Thr↷L</t>
  </si>
  <si>
    <t>Thr&gt;hand&gt;</t>
  </si>
  <si>
    <t>Thr&gt;base&gt;</t>
  </si>
  <si>
    <t>ThrSt&gt;</t>
  </si>
  <si>
    <r>
      <rPr>
        <b/>
        <sz val="8"/>
        <rFont val="Tahoma"/>
        <family val="2"/>
      </rPr>
      <t>Competition:</t>
    </r>
  </si>
  <si>
    <r>
      <rPr>
        <b/>
        <sz val="8"/>
        <rFont val="Tahoma"/>
        <family val="2"/>
      </rPr>
      <t>Event:</t>
    </r>
  </si>
  <si>
    <t xml:space="preserve">  PRELIMS</t>
  </si>
  <si>
    <t xml:space="preserve">  FINALS</t>
  </si>
  <si>
    <t xml:space="preserve">  Solo Tech</t>
  </si>
  <si>
    <t xml:space="preserve">  Male Solo Tech</t>
  </si>
  <si>
    <t xml:space="preserve">  Duet Tech</t>
  </si>
  <si>
    <t xml:space="preserve">  Mixed Duet Tech</t>
  </si>
  <si>
    <t xml:space="preserve">  Male Solo Free</t>
  </si>
  <si>
    <t xml:space="preserve">  Duet Free</t>
  </si>
  <si>
    <t xml:space="preserve">  Mixed Duet Free</t>
  </si>
  <si>
    <t xml:space="preserve">  Team Tech</t>
  </si>
  <si>
    <t xml:space="preserve">  Team Free</t>
  </si>
  <si>
    <t xml:space="preserve">  Acrobatic</t>
  </si>
  <si>
    <t xml:space="preserve">  Combo</t>
  </si>
  <si>
    <r>
      <rPr>
        <b/>
        <sz val="8"/>
        <rFont val="Tahoma"/>
        <family val="2"/>
      </rPr>
      <t>Theme:</t>
    </r>
  </si>
  <si>
    <r>
      <rPr>
        <b/>
        <sz val="8"/>
        <rFont val="Tahoma"/>
        <family val="2"/>
      </rPr>
      <t>Name of competitor(s):</t>
    </r>
  </si>
  <si>
    <r>
      <rPr>
        <b/>
        <sz val="8"/>
        <rFont val="Tahoma"/>
        <family val="2"/>
      </rPr>
      <t>ELEMENTS IN ORDER OF PERFORMANCE</t>
    </r>
  </si>
  <si>
    <r>
      <rPr>
        <b/>
        <sz val="8"/>
        <rFont val="Tahoma"/>
        <family val="2"/>
      </rPr>
      <t>TIME</t>
    </r>
  </si>
  <si>
    <r>
      <rPr>
        <b/>
        <sz val="8"/>
        <rFont val="Tahoma"/>
        <family val="2"/>
      </rPr>
      <t>PART</t>
    </r>
  </si>
  <si>
    <r>
      <rPr>
        <b/>
        <sz val="8"/>
        <rFont val="Tahoma"/>
        <family val="2"/>
      </rPr>
      <t>EL</t>
    </r>
  </si>
  <si>
    <r>
      <rPr>
        <b/>
        <sz val="8"/>
        <rFont val="Tahoma"/>
        <family val="2"/>
      </rPr>
      <t>BASE MARK</t>
    </r>
  </si>
  <si>
    <r>
      <rPr>
        <b/>
        <sz val="8"/>
        <rFont val="Tahoma"/>
        <family val="2"/>
      </rPr>
      <t>DECLARED DIFFICULTY</t>
    </r>
  </si>
  <si>
    <r>
      <rPr>
        <b/>
        <sz val="8"/>
        <rFont val="Tahoma"/>
        <family val="2"/>
      </rPr>
      <t>BONUS</t>
    </r>
  </si>
  <si>
    <r>
      <rPr>
        <b/>
        <sz val="8"/>
        <rFont val="Tahoma"/>
        <family val="2"/>
      </rPr>
      <t>DD</t>
    </r>
  </si>
  <si>
    <t>Theme:</t>
  </si>
  <si>
    <t>Prelim:</t>
  </si>
  <si>
    <t>Final:</t>
  </si>
  <si>
    <t>Total DD:</t>
  </si>
  <si>
    <t>__________________________________________________</t>
  </si>
  <si>
    <t>__________________________________________________________________________</t>
  </si>
  <si>
    <t>__________________________</t>
  </si>
  <si>
    <t xml:space="preserve">Signature: </t>
  </si>
  <si>
    <t xml:space="preserve">Date: </t>
  </si>
  <si>
    <t>T</t>
  </si>
  <si>
    <t>R</t>
  </si>
  <si>
    <t>F</t>
  </si>
  <si>
    <t>C</t>
  </si>
  <si>
    <t>PL-Check</t>
  </si>
  <si>
    <t>Bonus check on Hybrids</t>
  </si>
  <si>
    <t>C1+</t>
  </si>
  <si>
    <t>C2+</t>
  </si>
  <si>
    <t>C3+</t>
  </si>
  <si>
    <t>C4+</t>
  </si>
  <si>
    <t>C5+</t>
  </si>
  <si>
    <t>C6+</t>
  </si>
  <si>
    <t>TC</t>
  </si>
  <si>
    <t>Sweden</t>
  </si>
  <si>
    <t>Afghanistan - AFG</t>
  </si>
  <si>
    <t>Albania - ALB</t>
  </si>
  <si>
    <t>Algeria - ALG</t>
  </si>
  <si>
    <t>American Samoa - ASA</t>
  </si>
  <si>
    <t>Andorra - AND</t>
  </si>
  <si>
    <t>Angola - ANG</t>
  </si>
  <si>
    <t>Anguilla - AGU</t>
  </si>
  <si>
    <t>Antigua and Barbuda - ANT</t>
  </si>
  <si>
    <t>Argentina - ARG</t>
  </si>
  <si>
    <t>Armenia - ARM</t>
  </si>
  <si>
    <t>Aruba - ARU</t>
  </si>
  <si>
    <t>Australia - AUS</t>
  </si>
  <si>
    <t>Austria - AUT</t>
  </si>
  <si>
    <t>Azerbaijan - AZE</t>
  </si>
  <si>
    <t>Bahamas - BAH</t>
  </si>
  <si>
    <t>Bahrain - BRN</t>
  </si>
  <si>
    <t>Bangladesh - BAN</t>
  </si>
  <si>
    <t>Barbados - BAR</t>
  </si>
  <si>
    <t>Belarus - BLR</t>
  </si>
  <si>
    <t>Belgium - BEL</t>
  </si>
  <si>
    <t>Belize - BIZ</t>
  </si>
  <si>
    <t>Benin - BEN</t>
  </si>
  <si>
    <t>Bermuda - BER</t>
  </si>
  <si>
    <t>Bhutan - BHU</t>
  </si>
  <si>
    <t>Bolivia - BOL</t>
  </si>
  <si>
    <t>Bosnia and Herzegovina - BIH</t>
  </si>
  <si>
    <t>Botswana - BOT</t>
  </si>
  <si>
    <t>Brazil - BRA</t>
  </si>
  <si>
    <t>British Virgin Islands - IVB</t>
  </si>
  <si>
    <t>Brunei Darussalam - BRU</t>
  </si>
  <si>
    <t>Bulgaria - BUL</t>
  </si>
  <si>
    <t>Burkina Faso - BUR</t>
  </si>
  <si>
    <t>Burundi - BDI</t>
  </si>
  <si>
    <t>Cambodia - CAM</t>
  </si>
  <si>
    <t>Cameroon - CMR</t>
  </si>
  <si>
    <t>Canada - CAN</t>
  </si>
  <si>
    <t>Cape Verde - CPV</t>
  </si>
  <si>
    <t>Cayman Islands - CAY</t>
  </si>
  <si>
    <t>Central African Republic - CAF</t>
  </si>
  <si>
    <t>Chad - CHA</t>
  </si>
  <si>
    <t>Chile - CHI</t>
  </si>
  <si>
    <t>China - CHN</t>
  </si>
  <si>
    <t>Chinese Taipei - TPE</t>
  </si>
  <si>
    <t>Colombia - COL</t>
  </si>
  <si>
    <t>Comoros - COM</t>
  </si>
  <si>
    <t>Congo - CGO</t>
  </si>
  <si>
    <t>Cook Islands - COK</t>
  </si>
  <si>
    <t>Costa Rica - CRC</t>
  </si>
  <si>
    <t>Côte d'Ivoire - CIV</t>
  </si>
  <si>
    <t>Croatia - CRO</t>
  </si>
  <si>
    <t>Cuba - CUB</t>
  </si>
  <si>
    <t>Curacao - CUR</t>
  </si>
  <si>
    <t>Cyprus - CYP</t>
  </si>
  <si>
    <t>Czech Republic - CZE</t>
  </si>
  <si>
    <t>Democratic People's Republic of Korea - PRK</t>
  </si>
  <si>
    <t>Democratic Republic of the Congo - COD</t>
  </si>
  <si>
    <t>Democratic Republic of Timor-Leste - TLS</t>
  </si>
  <si>
    <t>Denmark - DEN</t>
  </si>
  <si>
    <t>Djibouti - DJI</t>
  </si>
  <si>
    <t>Dominica - DMA</t>
  </si>
  <si>
    <t>Dominican Republic - DOM</t>
  </si>
  <si>
    <t>Ecuador - ECU</t>
  </si>
  <si>
    <t>Egypt - EGY</t>
  </si>
  <si>
    <t>El Salvador - ESA</t>
  </si>
  <si>
    <t>Equatorial Guinea - GEQ</t>
  </si>
  <si>
    <t>Eritrea - ERI</t>
  </si>
  <si>
    <t>Estonia - EST</t>
  </si>
  <si>
    <t>Eswatini - SWZ</t>
  </si>
  <si>
    <t>Ethiopia - ETH</t>
  </si>
  <si>
    <t>Faroe Islands - FAR</t>
  </si>
  <si>
    <t>Federated States of Micronesia - FSM</t>
  </si>
  <si>
    <t>Fiji - FIJ</t>
  </si>
  <si>
    <t>Finland - FIN</t>
  </si>
  <si>
    <t>France - FRA</t>
  </si>
  <si>
    <t>Gabon - GAB</t>
  </si>
  <si>
    <t>Gambia - GAM</t>
  </si>
  <si>
    <t>Georgia - GEO</t>
  </si>
  <si>
    <t>Germany - GER</t>
  </si>
  <si>
    <t>Ghana - GHA</t>
  </si>
  <si>
    <t>Gibraltar - GIB</t>
  </si>
  <si>
    <t>Great Britain - GBR</t>
  </si>
  <si>
    <t>Greece - GRE</t>
  </si>
  <si>
    <t>Grenada - GRN</t>
  </si>
  <si>
    <t>Guam - GUM</t>
  </si>
  <si>
    <t>Guatemala - GUA</t>
  </si>
  <si>
    <t>Guinea - GUI</t>
  </si>
  <si>
    <t>Guinea-Bissau - GBS</t>
  </si>
  <si>
    <t>Guyana - GUY</t>
  </si>
  <si>
    <t>Haiti - HAI</t>
  </si>
  <si>
    <t>Honduras - HON</t>
  </si>
  <si>
    <t>Hong Kong - HKG</t>
  </si>
  <si>
    <t>Hungary - HUN</t>
  </si>
  <si>
    <t>Iceland - ISL</t>
  </si>
  <si>
    <t>India - IND</t>
  </si>
  <si>
    <t>Indonesia - INA</t>
  </si>
  <si>
    <t>Iraq - IRQ</t>
  </si>
  <si>
    <t>Ireland - IRL</t>
  </si>
  <si>
    <t>Islamic Republic of Iran - IRI</t>
  </si>
  <si>
    <t>Israel - ISR</t>
  </si>
  <si>
    <t>Italy - ITA</t>
  </si>
  <si>
    <t>Jamaica - JAM</t>
  </si>
  <si>
    <t>Japan - JPN</t>
  </si>
  <si>
    <t>Jordan - JOR</t>
  </si>
  <si>
    <t>Kazakhstan - KAZ</t>
  </si>
  <si>
    <t>Kenya - KEN</t>
  </si>
  <si>
    <t>Korea - KOR</t>
  </si>
  <si>
    <t>Kosovo - KOS</t>
  </si>
  <si>
    <t>Kuwait - KUW</t>
  </si>
  <si>
    <t>Kyrgyzstan - KGZ</t>
  </si>
  <si>
    <t>Lao People's Democratic Republic - LAO</t>
  </si>
  <si>
    <t>Latvia - LAT</t>
  </si>
  <si>
    <t>Lebanon - LBN</t>
  </si>
  <si>
    <t>Lesotho - LES</t>
  </si>
  <si>
    <t>Liberia - LBR</t>
  </si>
  <si>
    <t>Libya - LBA</t>
  </si>
  <si>
    <t>Liechtenstein - LIE</t>
  </si>
  <si>
    <t>Lithuania - LTU</t>
  </si>
  <si>
    <t>Luxembourg - LUX</t>
  </si>
  <si>
    <t>Macau - MAC</t>
  </si>
  <si>
    <t>Madagascar - MAD</t>
  </si>
  <si>
    <t>Malawi - MAW</t>
  </si>
  <si>
    <t>Malaysia - MAS</t>
  </si>
  <si>
    <t>Maldives - MDV</t>
  </si>
  <si>
    <t>Mali - MLI</t>
  </si>
  <si>
    <t>Malta - MLT</t>
  </si>
  <si>
    <t>Marshall Islands - MHL</t>
  </si>
  <si>
    <t>Mauritania - MTN</t>
  </si>
  <si>
    <t>Mauritius - MRI</t>
  </si>
  <si>
    <t>Mexico - MEX</t>
  </si>
  <si>
    <t>Moldova - MDA</t>
  </si>
  <si>
    <t>Monaco - MON</t>
  </si>
  <si>
    <t>Mongolia - MGL</t>
  </si>
  <si>
    <t>Montenegro - MNE</t>
  </si>
  <si>
    <t>Morocco - MAR</t>
  </si>
  <si>
    <t>Mozambique - MOZ</t>
  </si>
  <si>
    <t>Myanmar - MYA</t>
  </si>
  <si>
    <t>Namibia - NAM</t>
  </si>
  <si>
    <t>Nepal - NEP</t>
  </si>
  <si>
    <t>Netherlands - NED</t>
  </si>
  <si>
    <t>New Zealand - NZL</t>
  </si>
  <si>
    <t>Nicaragua - NCA</t>
  </si>
  <si>
    <t>Niger - NIG</t>
  </si>
  <si>
    <t>Nigeria - NGR</t>
  </si>
  <si>
    <t>North Macedonia - MKD</t>
  </si>
  <si>
    <t>Northern Mariana Islands - NMA</t>
  </si>
  <si>
    <t>Norway - NOR</t>
  </si>
  <si>
    <t>Oman - OMA</t>
  </si>
  <si>
    <t>Pakistan - PAK</t>
  </si>
  <si>
    <t>Palau - PLW</t>
  </si>
  <si>
    <t>Palestine - PLE</t>
  </si>
  <si>
    <t>Panama - PAN</t>
  </si>
  <si>
    <t>Papua New Guinea - PNG</t>
  </si>
  <si>
    <t>Paraguay - PAR</t>
  </si>
  <si>
    <t>Peru - PER</t>
  </si>
  <si>
    <t>Philippines - PHI</t>
  </si>
  <si>
    <t>Poland - POL</t>
  </si>
  <si>
    <t>Portugal - POR</t>
  </si>
  <si>
    <t>Puerto Rico - PUR</t>
  </si>
  <si>
    <t>Qatar - QAT</t>
  </si>
  <si>
    <t>Romania - ROU</t>
  </si>
  <si>
    <t>Russia - RUS</t>
  </si>
  <si>
    <t>Rwanda - RWA</t>
  </si>
  <si>
    <t>Saint Lucia - LCA</t>
  </si>
  <si>
    <t>Samoa - SAM</t>
  </si>
  <si>
    <t>San Marino - SMR</t>
  </si>
  <si>
    <t>Saudi Arabia - KSA</t>
  </si>
  <si>
    <t>Senegal - SEN</t>
  </si>
  <si>
    <t>Serbia - SRB</t>
  </si>
  <si>
    <t>Seychelles - SEY</t>
  </si>
  <si>
    <t>Sierra Leone - SLE</t>
  </si>
  <si>
    <t>Singapore - SGP</t>
  </si>
  <si>
    <t>Sint Maarten - MAA</t>
  </si>
  <si>
    <t>Slovakia - SVK</t>
  </si>
  <si>
    <t>Slovenia - SLO</t>
  </si>
  <si>
    <t>Solomon Islands - SOL</t>
  </si>
  <si>
    <t>Somalia - SOM</t>
  </si>
  <si>
    <t>South Africa - RSA</t>
  </si>
  <si>
    <t>Spain - ESP</t>
  </si>
  <si>
    <t>Sri Lanka - SRI</t>
  </si>
  <si>
    <t>St. Kitts and Nevis - SKN</t>
  </si>
  <si>
    <t>St. Vincent and Grenadines - VIN</t>
  </si>
  <si>
    <t>Sudan - SUD</t>
  </si>
  <si>
    <t>Suriname - SUR</t>
  </si>
  <si>
    <t>Sweden - SWE</t>
  </si>
  <si>
    <t>Switzerland - SUI</t>
  </si>
  <si>
    <t>Syrian Arab Republic - SYR</t>
  </si>
  <si>
    <t>Tajikistan - TJK</t>
  </si>
  <si>
    <t>Tanzania - TAN</t>
  </si>
  <si>
    <t>Thailand - THA</t>
  </si>
  <si>
    <t>Togo - TOG</t>
  </si>
  <si>
    <t>Tonga - TGA</t>
  </si>
  <si>
    <t>Trinidad and Tobago - TTO</t>
  </si>
  <si>
    <t>Tunisia - TUN</t>
  </si>
  <si>
    <t>Turkey - TUR</t>
  </si>
  <si>
    <t>Turkmenistan - TKM</t>
  </si>
  <si>
    <t>Turks and Caicos Islands - TCN</t>
  </si>
  <si>
    <t>Uganda - UGA</t>
  </si>
  <si>
    <t>Ukraine - UKR</t>
  </si>
  <si>
    <t>United Arab Emirates - UAE</t>
  </si>
  <si>
    <t>United States of America - USA</t>
  </si>
  <si>
    <t>Uruguay - URU</t>
  </si>
  <si>
    <t>Uzbekistan - UZB</t>
  </si>
  <si>
    <t>Vanuatu - VAN</t>
  </si>
  <si>
    <t>Venezuela - VEN</t>
  </si>
  <si>
    <t>Vietnam - VIE</t>
  </si>
  <si>
    <t>Virgin Islands, US - ISV</t>
  </si>
  <si>
    <t>Yemen - YEM</t>
  </si>
  <si>
    <t>Zambia - ZAM</t>
  </si>
  <si>
    <t>Zimbabwe - ZIM</t>
  </si>
  <si>
    <t>Democratic Republic of Timor</t>
  </si>
  <si>
    <t>Guinea</t>
  </si>
  <si>
    <t>GBS</t>
  </si>
  <si>
    <t>AFG</t>
  </si>
  <si>
    <t>ALB</t>
  </si>
  <si>
    <t>ALG</t>
  </si>
  <si>
    <t>ASA</t>
  </si>
  <si>
    <t>AND</t>
  </si>
  <si>
    <t>ANG</t>
  </si>
  <si>
    <t>AGU</t>
  </si>
  <si>
    <t>ANT</t>
  </si>
  <si>
    <t>ARG</t>
  </si>
  <si>
    <t>ARM</t>
  </si>
  <si>
    <t>ARU</t>
  </si>
  <si>
    <t>AUS</t>
  </si>
  <si>
    <t>AUT</t>
  </si>
  <si>
    <t>AZE</t>
  </si>
  <si>
    <t>BAH</t>
  </si>
  <si>
    <t>BRN</t>
  </si>
  <si>
    <t>BAN</t>
  </si>
  <si>
    <t>BAR</t>
  </si>
  <si>
    <t>BLR</t>
  </si>
  <si>
    <t>BEL</t>
  </si>
  <si>
    <t>BIZ</t>
  </si>
  <si>
    <t>BEN</t>
  </si>
  <si>
    <t>BER</t>
  </si>
  <si>
    <t>BHU</t>
  </si>
  <si>
    <t>BOL</t>
  </si>
  <si>
    <t>BIH</t>
  </si>
  <si>
    <t>BOT</t>
  </si>
  <si>
    <t>BRA</t>
  </si>
  <si>
    <t>IVB</t>
  </si>
  <si>
    <t>BRU</t>
  </si>
  <si>
    <t>BUL</t>
  </si>
  <si>
    <t>BUR</t>
  </si>
  <si>
    <t>BDI</t>
  </si>
  <si>
    <t>CAM</t>
  </si>
  <si>
    <t>CMR</t>
  </si>
  <si>
    <t>CAN</t>
  </si>
  <si>
    <t>CPV</t>
  </si>
  <si>
    <t>CAY</t>
  </si>
  <si>
    <t>CAF</t>
  </si>
  <si>
    <t>CHA</t>
  </si>
  <si>
    <t>CHI</t>
  </si>
  <si>
    <t>CHN</t>
  </si>
  <si>
    <t>TPE</t>
  </si>
  <si>
    <t>COL</t>
  </si>
  <si>
    <t>COM</t>
  </si>
  <si>
    <t>CGO</t>
  </si>
  <si>
    <t>COK</t>
  </si>
  <si>
    <t>CRC</t>
  </si>
  <si>
    <t>CIV</t>
  </si>
  <si>
    <t>CRO</t>
  </si>
  <si>
    <t>CUB</t>
  </si>
  <si>
    <t>CUR</t>
  </si>
  <si>
    <t>CYP</t>
  </si>
  <si>
    <t>CZE</t>
  </si>
  <si>
    <t>PRK</t>
  </si>
  <si>
    <t>COD</t>
  </si>
  <si>
    <t>TLS</t>
  </si>
  <si>
    <t>DEN</t>
  </si>
  <si>
    <t>DJI</t>
  </si>
  <si>
    <t>DMA</t>
  </si>
  <si>
    <t>DOM</t>
  </si>
  <si>
    <t>ECU</t>
  </si>
  <si>
    <t>EGY</t>
  </si>
  <si>
    <t>ESA</t>
  </si>
  <si>
    <t>GEQ</t>
  </si>
  <si>
    <t>ERI</t>
  </si>
  <si>
    <t>EST</t>
  </si>
  <si>
    <t>SWZ</t>
  </si>
  <si>
    <t>ETH</t>
  </si>
  <si>
    <t>FAR</t>
  </si>
  <si>
    <t>FSM</t>
  </si>
  <si>
    <t>FIJ</t>
  </si>
  <si>
    <t>FIN</t>
  </si>
  <si>
    <t>FRA</t>
  </si>
  <si>
    <t>GAB</t>
  </si>
  <si>
    <t>GAM</t>
  </si>
  <si>
    <t>GEO</t>
  </si>
  <si>
    <t>GER</t>
  </si>
  <si>
    <t>GHA</t>
  </si>
  <si>
    <t>GIB</t>
  </si>
  <si>
    <t>GBR</t>
  </si>
  <si>
    <t>GRE</t>
  </si>
  <si>
    <t>GRN</t>
  </si>
  <si>
    <t>GUM</t>
  </si>
  <si>
    <t>GUA</t>
  </si>
  <si>
    <t>GUI</t>
  </si>
  <si>
    <t>GUY</t>
  </si>
  <si>
    <t>HAI</t>
  </si>
  <si>
    <t>HON</t>
  </si>
  <si>
    <t>HKG</t>
  </si>
  <si>
    <t>HUN</t>
  </si>
  <si>
    <t>ISL</t>
  </si>
  <si>
    <t>IND</t>
  </si>
  <si>
    <t>INA</t>
  </si>
  <si>
    <t>IRQ</t>
  </si>
  <si>
    <t>IRL</t>
  </si>
  <si>
    <t>IRI</t>
  </si>
  <si>
    <t>ISR</t>
  </si>
  <si>
    <t>ITA</t>
  </si>
  <si>
    <t>JAM</t>
  </si>
  <si>
    <t>JPN</t>
  </si>
  <si>
    <t>JOR</t>
  </si>
  <si>
    <t>KAZ</t>
  </si>
  <si>
    <t>KEN</t>
  </si>
  <si>
    <t>KOR</t>
  </si>
  <si>
    <t>KOS</t>
  </si>
  <si>
    <t>KUW</t>
  </si>
  <si>
    <t>KGZ</t>
  </si>
  <si>
    <t>LAO</t>
  </si>
  <si>
    <t>LAT</t>
  </si>
  <si>
    <t>LBN</t>
  </si>
  <si>
    <t>LES</t>
  </si>
  <si>
    <t>LBR</t>
  </si>
  <si>
    <t>LBA</t>
  </si>
  <si>
    <t>LIE</t>
  </si>
  <si>
    <t>LTU</t>
  </si>
  <si>
    <t>LUX</t>
  </si>
  <si>
    <t>MAC</t>
  </si>
  <si>
    <t>MAD</t>
  </si>
  <si>
    <t>MAW</t>
  </si>
  <si>
    <t>MAS</t>
  </si>
  <si>
    <t>MDV</t>
  </si>
  <si>
    <t>MLI</t>
  </si>
  <si>
    <t>MLT</t>
  </si>
  <si>
    <t>MHL</t>
  </si>
  <si>
    <t>MTN</t>
  </si>
  <si>
    <t>MRI</t>
  </si>
  <si>
    <t>MEX</t>
  </si>
  <si>
    <t>MDA</t>
  </si>
  <si>
    <t>MON</t>
  </si>
  <si>
    <t>MGL</t>
  </si>
  <si>
    <t>MNE</t>
  </si>
  <si>
    <t>MAR</t>
  </si>
  <si>
    <t>MOZ</t>
  </si>
  <si>
    <t>MYA</t>
  </si>
  <si>
    <t>NAM</t>
  </si>
  <si>
    <t>NEP</t>
  </si>
  <si>
    <t>NED</t>
  </si>
  <si>
    <t>NZL</t>
  </si>
  <si>
    <t>NCA</t>
  </si>
  <si>
    <t>NIG</t>
  </si>
  <si>
    <t>NGR</t>
  </si>
  <si>
    <t>MKD</t>
  </si>
  <si>
    <t>NMA</t>
  </si>
  <si>
    <t>NOR</t>
  </si>
  <si>
    <t>OMA</t>
  </si>
  <si>
    <t>PAK</t>
  </si>
  <si>
    <t>PLW</t>
  </si>
  <si>
    <t>PLE</t>
  </si>
  <si>
    <t>PAN</t>
  </si>
  <si>
    <t>PNG</t>
  </si>
  <si>
    <t>PAR</t>
  </si>
  <si>
    <t>PER</t>
  </si>
  <si>
    <t>PHI</t>
  </si>
  <si>
    <t>POL</t>
  </si>
  <si>
    <t>POR</t>
  </si>
  <si>
    <t>PUR</t>
  </si>
  <si>
    <t>QAT</t>
  </si>
  <si>
    <t>ROU</t>
  </si>
  <si>
    <t>RUS</t>
  </si>
  <si>
    <t>RWA</t>
  </si>
  <si>
    <t>LCA</t>
  </si>
  <si>
    <t>SAM</t>
  </si>
  <si>
    <t>SMR</t>
  </si>
  <si>
    <t>KSA</t>
  </si>
  <si>
    <t>SEN</t>
  </si>
  <si>
    <t>SRB</t>
  </si>
  <si>
    <t>SEY</t>
  </si>
  <si>
    <t>SLE</t>
  </si>
  <si>
    <t>SGP</t>
  </si>
  <si>
    <t>MAA</t>
  </si>
  <si>
    <t>SVK</t>
  </si>
  <si>
    <t>SLO</t>
  </si>
  <si>
    <t>SOL</t>
  </si>
  <si>
    <t>SOM</t>
  </si>
  <si>
    <t>RSA</t>
  </si>
  <si>
    <t>ESP</t>
  </si>
  <si>
    <t>SRI</t>
  </si>
  <si>
    <t>SKN</t>
  </si>
  <si>
    <t>VIN</t>
  </si>
  <si>
    <t>SUD</t>
  </si>
  <si>
    <t>SUR</t>
  </si>
  <si>
    <t>SWE</t>
  </si>
  <si>
    <t>SUI</t>
  </si>
  <si>
    <t>SYR</t>
  </si>
  <si>
    <t>TJK</t>
  </si>
  <si>
    <t>TAN</t>
  </si>
  <si>
    <t>THA</t>
  </si>
  <si>
    <t>TOG</t>
  </si>
  <si>
    <t>TGA</t>
  </si>
  <si>
    <t>TTO</t>
  </si>
  <si>
    <t>TUN</t>
  </si>
  <si>
    <t>TUR</t>
  </si>
  <si>
    <t>TKM</t>
  </si>
  <si>
    <t>TCN</t>
  </si>
  <si>
    <t>UGA</t>
  </si>
  <si>
    <t>UKR</t>
  </si>
  <si>
    <t>UAE</t>
  </si>
  <si>
    <t>USA</t>
  </si>
  <si>
    <t>URU</t>
  </si>
  <si>
    <t>UZB</t>
  </si>
  <si>
    <t>VAN</t>
  </si>
  <si>
    <t>VEN</t>
  </si>
  <si>
    <t>VIE</t>
  </si>
  <si>
    <t>ISV</t>
  </si>
  <si>
    <t>YEM</t>
  </si>
  <si>
    <t>ZAM</t>
  </si>
  <si>
    <t>ZIM</t>
  </si>
  <si>
    <t>Afghanistan</t>
  </si>
  <si>
    <t>Albania</t>
  </si>
  <si>
    <t>Algeria</t>
  </si>
  <si>
    <t>Andorra</t>
  </si>
  <si>
    <t>Angola</t>
  </si>
  <si>
    <t>Anguilla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</si>
  <si>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</si>
  <si>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</si>
  <si>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</si>
  <si>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</si>
  <si>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</si>
  <si>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</si>
  <si>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</si>
  <si>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</si>
  <si>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</si>
  <si>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</si>
  <si>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</si>
  <si>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</si>
  <si>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</si>
  <si>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</si>
  <si>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</si>
  <si>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</si>
  <si>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</si>
  <si>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Botswana</t>
  </si>
  <si>
    <t>Brazil</t>
  </si>
  <si>
    <t>Bulgaria</t>
  </si>
  <si>
    <t>Burundi</t>
  </si>
  <si>
    <t>Cambodia</t>
  </si>
  <si>
    <t>Cameroon</t>
  </si>
  <si>
    <t>Canada</t>
  </si>
  <si>
    <t>Chad</t>
  </si>
  <si>
    <t>Chile</t>
  </si>
  <si>
    <t>China</t>
  </si>
  <si>
    <t>Colombia</t>
  </si>
  <si>
    <t>Comoros</t>
  </si>
  <si>
    <t>Congo</t>
  </si>
  <si>
    <t>Croatia</t>
  </si>
  <si>
    <t>Cuba</t>
  </si>
  <si>
    <t>Curacao</t>
  </si>
  <si>
    <t>Cyprus</t>
  </si>
  <si>
    <t>Denmark</t>
  </si>
  <si>
    <t>Djibouti</t>
  </si>
  <si>
    <t>Dominica</t>
  </si>
  <si>
    <t>Ecuador</t>
  </si>
  <si>
    <t>Egypt</t>
  </si>
  <si>
    <t>Eritrea</t>
  </si>
  <si>
    <t>Estonia</t>
  </si>
  <si>
    <t>Eswatini</t>
  </si>
  <si>
    <t>Ethiopia</t>
  </si>
  <si>
    <t>Fiji</t>
  </si>
  <si>
    <t>Finland</t>
  </si>
  <si>
    <t>France</t>
  </si>
  <si>
    <t>Gabon</t>
  </si>
  <si>
    <t>Gambia</t>
  </si>
  <si>
    <t>Georgia</t>
  </si>
  <si>
    <t>Germany</t>
  </si>
  <si>
    <t>Ghana</t>
  </si>
  <si>
    <t>Gibraltar</t>
  </si>
  <si>
    <t>Greece</t>
  </si>
  <si>
    <t>Grenada</t>
  </si>
  <si>
    <t>Guam</t>
  </si>
  <si>
    <t>Guatemala</t>
  </si>
  <si>
    <t>Guyana</t>
  </si>
  <si>
    <t>Haiti</t>
  </si>
  <si>
    <t>Honduras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</si>
  <si>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</si>
  <si>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</si>
  <si>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</si>
  <si>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</si>
  <si>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</si>
  <si>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</si>
  <si>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</si>
  <si>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</si>
  <si>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</si>
  <si>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</si>
  <si>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</si>
  <si>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</si>
  <si>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</si>
  <si>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Korea</t>
  </si>
  <si>
    <t>Kosovo</t>
  </si>
  <si>
    <t>Kuwait</t>
  </si>
  <si>
    <t>Kyrgyzstan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</si>
  <si>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</si>
  <si>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</si>
  <si>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</si>
  <si>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</si>
  <si>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</si>
  <si>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</si>
  <si>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</si>
  <si>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</si>
  <si>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</si>
  <si>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</si>
  <si>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</si>
  <si>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</si>
  <si>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</si>
  <si>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</si>
  <si>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</si>
  <si>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</si>
  <si>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</si>
  <si>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</si>
  <si>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</si>
  <si>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</si>
  <si>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</si>
  <si>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</si>
  <si>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</si>
  <si>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</si>
  <si>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</si>
  <si>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</si>
  <si>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</si>
  <si>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</si>
  <si>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Nicaragua</t>
  </si>
  <si>
    <t>Niger</t>
  </si>
  <si>
    <t>Nigeria</t>
  </si>
  <si>
    <t>Norway</t>
  </si>
  <si>
    <t>Oman</t>
  </si>
  <si>
    <t>Pakistan</t>
  </si>
  <si>
    <t>Palau</t>
  </si>
  <si>
    <t>Palestine</t>
  </si>
  <si>
    <t>Panama</t>
  </si>
  <si>
    <t>Paraguay</t>
  </si>
  <si>
    <t>Peru</t>
  </si>
  <si>
    <t>Philippines</t>
  </si>
  <si>
    <t>Poland</t>
  </si>
  <si>
    <t>Portugal</t>
  </si>
  <si>
    <t>Qatar</t>
  </si>
  <si>
    <t>Romania</t>
  </si>
  <si>
    <t>Russia</t>
  </si>
  <si>
    <t>Rwanda</t>
  </si>
  <si>
    <t>Samoa</t>
  </si>
  <si>
    <t>Senegal</t>
  </si>
  <si>
    <t>Serbia</t>
  </si>
  <si>
    <t>Seychelles</t>
  </si>
  <si>
    <t>Singapore</t>
  </si>
  <si>
    <t>Slovakia</t>
  </si>
  <si>
    <t>Slovenia</t>
  </si>
  <si>
    <t>Somalia</t>
  </si>
  <si>
    <t>Spain</t>
  </si>
  <si>
    <t>Sudan</t>
  </si>
  <si>
    <t>Suriname</t>
  </si>
  <si>
    <t>Switzerland</t>
  </si>
  <si>
    <t>Tajikistan</t>
  </si>
  <si>
    <t>Tanzania</t>
  </si>
  <si>
    <t>Thailand</t>
  </si>
  <si>
    <t>Togo</t>
  </si>
  <si>
    <t>Tonga</t>
  </si>
  <si>
    <t>Tunisia</t>
  </si>
  <si>
    <t>Turkey</t>
  </si>
  <si>
    <t>Turkmenistan</t>
  </si>
  <si>
    <t>Uganda</t>
  </si>
  <si>
    <t>Ukraine</t>
  </si>
  <si>
    <t>Uruguay</t>
  </si>
  <si>
    <t>Uzbekistan</t>
  </si>
  <si>
    <t>Vanuatu</t>
  </si>
  <si>
    <t>Venezuela</t>
  </si>
  <si>
    <t>Vietnam</t>
  </si>
  <si>
    <t>Yemen</t>
  </si>
  <si>
    <t>Zambia</t>
  </si>
  <si>
    <t>Zimbabwe</t>
  </si>
  <si>
    <t>American Samoa</t>
  </si>
  <si>
    <t>Antigua and Barbuda</t>
  </si>
  <si>
    <t>Bosnia and Herzegovina</t>
  </si>
  <si>
    <t>British Virgin Islands</t>
  </si>
  <si>
    <t>Burkina Faso</t>
  </si>
  <si>
    <t>Cape Verde</t>
  </si>
  <si>
    <t>Cayman Islands</t>
  </si>
  <si>
    <t>Central African Republic</t>
  </si>
  <si>
    <t>Chinese Taipei</t>
  </si>
  <si>
    <t>Cook Islands</t>
  </si>
  <si>
    <t>Costa Rica</t>
  </si>
  <si>
    <t>Côte d'Ivoire</t>
  </si>
  <si>
    <t>Czech Republic</t>
  </si>
  <si>
    <t>Democratic People's Republic of Korea</t>
  </si>
  <si>
    <t>Democratic Republic of the Congo</t>
  </si>
  <si>
    <t>Dominican Republic</t>
  </si>
  <si>
    <t>El Salvador</t>
  </si>
  <si>
    <t>Equatorial Guinea</t>
  </si>
  <si>
    <t>Federated States of Micronesia</t>
  </si>
  <si>
    <t>Faroe Islands</t>
  </si>
  <si>
    <t>Great Britain</t>
  </si>
  <si>
    <t>Guinea-Bissau</t>
  </si>
  <si>
    <t>Hong Kong</t>
  </si>
  <si>
    <t>Islamic Republic of Iran</t>
  </si>
  <si>
    <t>Lao People's Democratic Republic</t>
  </si>
  <si>
    <t>Marshall Islands</t>
  </si>
  <si>
    <t>North Macedonia</t>
  </si>
  <si>
    <t>Northern Mariana Islands</t>
  </si>
  <si>
    <t>Papua New Guinea</t>
  </si>
  <si>
    <t>San Marino</t>
  </si>
  <si>
    <t>Saudi Arabia</t>
  </si>
  <si>
    <t>Sierra Leone</t>
  </si>
  <si>
    <t>Sint Maarten</t>
  </si>
  <si>
    <t>Solomon Islands</t>
  </si>
  <si>
    <t>South Africa</t>
  </si>
  <si>
    <t>Sri Lanka</t>
  </si>
  <si>
    <t>St. Kitts and Nevis</t>
  </si>
  <si>
    <t>St. Vincent and Grenadines</t>
  </si>
  <si>
    <t>Syrian Arab Republic</t>
  </si>
  <si>
    <t>Trinidad and Tobago</t>
  </si>
  <si>
    <t>Turks and Caicos Islands</t>
  </si>
  <si>
    <t>United Arab Emirates</t>
  </si>
  <si>
    <t>United States of America</t>
  </si>
  <si>
    <t>Brunei Darussalam</t>
  </si>
  <si>
    <t>New Zealand</t>
  </si>
  <si>
    <t>Puerto Rico</t>
  </si>
  <si>
    <t>Saint Lucia</t>
  </si>
  <si>
    <t>Virgin Islands, US</t>
  </si>
  <si>
    <t/>
  </si>
  <si>
    <t>&gt;   Choose if to use "Federation" or "Club"</t>
  </si>
  <si>
    <t>&gt;   If "Federation", choose federation name</t>
  </si>
  <si>
    <t>&gt;   If "Club", write the name of the club</t>
  </si>
  <si>
    <t>&gt;  Write the name of the participant(s)</t>
  </si>
  <si>
    <t>&gt;   Declare what DD(s) this element includes. Only one code. By writing or drop-list.</t>
  </si>
  <si>
    <t>&gt; If red - Conflict with WAQ-rules</t>
  </si>
  <si>
    <t>&gt;   Write "X" in the column "Last(X)" on the row for the last part of the program.</t>
  </si>
  <si>
    <t>&gt;   Double check that everything is correct.</t>
  </si>
  <si>
    <t>&gt;   Go to the "Coach Card" sheet</t>
  </si>
  <si>
    <t>Instructions</t>
  </si>
  <si>
    <t>TRE check</t>
  </si>
  <si>
    <t>&gt; If there is no 2nd position in Team Acro -&gt; Leave that box empty</t>
  </si>
  <si>
    <t>2ig</t>
  </si>
  <si>
    <t xml:space="preserve">3pA2 </t>
  </si>
  <si>
    <t xml:space="preserve">AA </t>
  </si>
  <si>
    <t xml:space="preserve">SiF/ </t>
  </si>
  <si>
    <t xml:space="preserve">‘&gt;Stsh </t>
  </si>
  <si>
    <t>&gt; If There is any part in Acrobatic you dont have - leave that cell empty and move to the next cell</t>
  </si>
  <si>
    <t>Club:</t>
  </si>
  <si>
    <t>Js1B</t>
  </si>
  <si>
    <t>Jpd</t>
  </si>
  <si>
    <t>JBs1t0,5</t>
  </si>
  <si>
    <t>JsF1B</t>
  </si>
  <si>
    <t>W!s0,5t0,5</t>
  </si>
  <si>
    <t>W!r1</t>
  </si>
  <si>
    <t>O</t>
  </si>
  <si>
    <t>SF+FB</t>
  </si>
  <si>
    <t>Px1P</t>
  </si>
  <si>
    <t>FK+&gt;FK1</t>
  </si>
  <si>
    <t>SiF1</t>
  </si>
  <si>
    <t>y16</t>
  </si>
  <si>
    <t>PK+KP</t>
  </si>
  <si>
    <t>St&gt;StH</t>
  </si>
  <si>
    <t>StH↷L</t>
  </si>
  <si>
    <t>‘~StH</t>
  </si>
  <si>
    <t>‘&gt;PP&gt;</t>
  </si>
  <si>
    <t>y17</t>
  </si>
  <si>
    <t>hhs1</t>
  </si>
  <si>
    <t>2bbSup</t>
  </si>
  <si>
    <t>j26</t>
  </si>
  <si>
    <t>j27</t>
  </si>
  <si>
    <t>StH~StH</t>
  </si>
  <si>
    <t>Ln</t>
  </si>
  <si>
    <t>2Ln</t>
  </si>
  <si>
    <t>Ln!</t>
  </si>
  <si>
    <t>2Ln!</t>
  </si>
  <si>
    <t>dt1</t>
  </si>
  <si>
    <t>s1,5t0,5</t>
  </si>
  <si>
    <t>s1,5t1</t>
  </si>
  <si>
    <t>2SupH(2)</t>
  </si>
  <si>
    <t>StH’’’’</t>
  </si>
  <si>
    <t>ig</t>
  </si>
  <si>
    <t>r1,5*</t>
  </si>
  <si>
    <t>R0,5*</t>
  </si>
  <si>
    <t>L!»</t>
  </si>
  <si>
    <t>Lf»</t>
  </si>
  <si>
    <t>L!f»</t>
  </si>
  <si>
    <t>L!r0,5»</t>
  </si>
  <si>
    <t>L!r1»</t>
  </si>
  <si>
    <t>L!fr0,5»</t>
  </si>
  <si>
    <t>W!»</t>
  </si>
  <si>
    <t>W!d</t>
  </si>
  <si>
    <t>Female Solo Free</t>
  </si>
  <si>
    <t>Female Solo Free / Juniors 13 - 19</t>
  </si>
  <si>
    <t>31st SL SYNCHRO CUP 2024</t>
  </si>
  <si>
    <t xml:space="preserve">  Female Solo Free</t>
  </si>
  <si>
    <t>v. 3.6 - lux</t>
  </si>
  <si>
    <t>APPENDIX IV COACH CARD</t>
  </si>
  <si>
    <t xml:space="preserve">IMPORTANT:  Coach Cards must be submitted to Carmen Tholl-Biewer (tholl@swimming.lu) by the 1st of May 2024 at the very latest. </t>
  </si>
  <si>
    <t>Please fill out the following sheet with your coach card data for each Juniors routine. Please find here below the instructions to fill out the Coach Card.</t>
  </si>
  <si>
    <t>After filling it in, please send the full excel document (for each routine, a seperate document must be created) back to Carmen Tholl-Biewer.</t>
  </si>
  <si>
    <t>If there are any questions, don't hesitate to contact us.</t>
  </si>
  <si>
    <t xml:space="preserve">&gt;   Write down the theme of your routine </t>
  </si>
  <si>
    <t>&gt;   Choose the event that this CC belongs to</t>
  </si>
  <si>
    <t>You will now be able to see how many elements the CC has to have according to WAQ-rules 2022-2025.</t>
  </si>
  <si>
    <t>Additional to this, the excel show you how many elements that have already been used.</t>
  </si>
  <si>
    <t>The time limit for the chosen event will also be visable.</t>
  </si>
  <si>
    <t>&gt; If red - The time limit for the program is incorrect acording to WAQ-rules 2022-25.</t>
  </si>
  <si>
    <t>&gt;   Write down at what time the first element of your routine ends (Minutes + Seconds). (Column: Time Start / Tiime end)</t>
  </si>
  <si>
    <t>&gt;   Choose what kind of performance/element the swimmer do at this particulary time period. (Column: Part)</t>
  </si>
  <si>
    <t>&gt;   Declare bonus, if there is any any.</t>
  </si>
  <si>
    <t>&gt;   Continue the same way untill full program/routine is declared.</t>
  </si>
  <si>
    <t>&gt; Each coach card (1 routine per excel sheet) must be sent to Carmen Tholl-Biewer (tholl@swimming.lu) by the 1st of May 2024 at the very latest.</t>
  </si>
  <si>
    <t>&gt; It is important that you send us the document as the whole excel document (not only one sheet of it or as PDF)</t>
  </si>
  <si>
    <t>&gt; Please note that after this date (01.05.2024), no changes can be made in the CC!</t>
  </si>
  <si>
    <t>&gt; The earlier you send in the final CC, the better it is!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</si>
</sst>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\ &quot;kr&quot;;[Red]\-#,##0\ &quot;kr&quot;"/>
    <numFmt numFmtId="165" formatCode="00"/>
    <numFmt numFmtId="166" formatCode="mm:ss;@"/>
    <numFmt numFmtId="167" formatCode="0.000"/>
    <numFmt numFmtId="168" formatCode="0.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charset val="204"/>
      <scheme val="minor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Calibri"/>
      <family val="2"/>
      <charset val="204"/>
      <scheme val="minor"/>
    </font>
    <font>
      <sz val="10"/>
      <color theme="0" tint="-0.14999847407452621"/>
      <name val="Arial"/>
      <family val="2"/>
    </font>
    <font>
      <sz val="11"/>
      <color theme="1"/>
      <name val="Arial"/>
      <family val="2"/>
    </font>
    <font>
      <sz val="10"/>
      <color rgb="FF000000"/>
      <name val="Times New Roman"/>
      <family val="1"/>
    </font>
    <font>
      <b/>
      <sz val="8"/>
      <name val="Tahoma"/>
      <family val="2"/>
    </font>
    <font>
      <b/>
      <sz val="6"/>
      <name val="Tahoma"/>
      <family val="2"/>
    </font>
    <font>
      <b/>
      <sz val="8"/>
      <name val="Arial Black"/>
      <family val="2"/>
    </font>
    <font>
      <b/>
      <sz val="11"/>
      <name val="Tahoma"/>
      <family val="2"/>
    </font>
    <font>
      <sz val="11"/>
      <color rgb="FF000000"/>
      <name val="Times New Roman"/>
      <family val="1"/>
    </font>
    <font>
      <sz val="12"/>
      <color rgb="FF000000"/>
      <name val="Times New Roman"/>
      <family val="1"/>
    </font>
    <font>
      <sz val="8"/>
      <name val="Tahoma"/>
      <family val="2"/>
    </font>
    <font>
      <b/>
      <sz val="11"/>
      <color rgb="FF000000"/>
      <name val="Times New Roman"/>
      <family val="1"/>
    </font>
    <font>
      <sz val="14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rgb="FF000000"/>
      <name val="Times New Roman"/>
      <family val="1"/>
    </font>
    <font>
      <sz val="14"/>
      <color rgb="FF000000"/>
      <name val="Times New Roman"/>
      <family val="1"/>
    </font>
    <font>
      <b/>
      <sz val="9"/>
      <color theme="1"/>
      <name val="Arial"/>
      <family val="2"/>
    </font>
    <font>
      <b/>
      <sz val="48"/>
      <color theme="4" tint="-0.249977111117893"/>
      <name val="Calibri"/>
      <family val="2"/>
    </font>
    <font>
      <b/>
      <sz val="28"/>
      <color theme="4" tint="-0.249977111117893"/>
      <name val="Arial"/>
      <family val="2"/>
    </font>
    <font>
      <b/>
      <sz val="24"/>
      <color theme="1"/>
      <name val="Arial"/>
      <family val="2"/>
    </font>
    <font>
      <b/>
      <sz val="18"/>
      <color theme="1"/>
      <name val="Arial"/>
      <family val="2"/>
    </font>
    <font>
      <b/>
      <sz val="11"/>
      <color rgb="FFFF0000"/>
      <name val="Arial"/>
      <family val="2"/>
    </font>
    <font>
      <sz val="11"/>
      <color theme="1" tint="0.499984740745262"/>
      <name val="Arial"/>
      <family val="2"/>
    </font>
    <font>
      <b/>
      <sz val="16"/>
      <color theme="1"/>
      <name val="Arial"/>
      <family val="2"/>
    </font>
    <font>
      <sz val="11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1F1F1"/>
      </patternFill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5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8" fontId="0" fillId="0" borderId="0" xfId="0" applyNumberFormat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165" fontId="6" fillId="0" borderId="0" xfId="1" applyNumberFormat="1" applyFont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hidden="1"/>
    </xf>
    <xf numFmtId="0" fontId="2" fillId="2" borderId="0" xfId="1" applyFont="1" applyFill="1" applyAlignment="1" applyProtection="1">
      <alignment vertical="center"/>
      <protection hidden="1"/>
    </xf>
    <xf numFmtId="0" fontId="2" fillId="0" borderId="0" xfId="1" applyFont="1" applyAlignment="1" applyProtection="1">
      <alignment vertical="center"/>
      <protection hidden="1"/>
    </xf>
    <xf numFmtId="0" fontId="4" fillId="0" borderId="3" xfId="1" applyFont="1" applyBorder="1" applyAlignment="1" applyProtection="1">
      <alignment vertical="center"/>
      <protection hidden="1"/>
    </xf>
    <xf numFmtId="0" fontId="3" fillId="0" borderId="5" xfId="1" applyFont="1" applyBorder="1" applyAlignment="1" applyProtection="1">
      <alignment horizontal="left" vertical="center"/>
      <protection hidden="1"/>
    </xf>
    <xf numFmtId="0" fontId="4" fillId="0" borderId="5" xfId="1" applyFont="1" applyBorder="1" applyAlignment="1" applyProtection="1">
      <alignment vertical="center"/>
      <protection hidden="1"/>
    </xf>
    <xf numFmtId="0" fontId="2" fillId="0" borderId="0" xfId="1" applyFont="1" applyAlignment="1" applyProtection="1">
      <alignment horizontal="center" vertical="center"/>
      <protection hidden="1"/>
    </xf>
    <xf numFmtId="0" fontId="2" fillId="3" borderId="0" xfId="1" applyFont="1" applyFill="1" applyAlignment="1" applyProtection="1">
      <alignment vertical="center"/>
      <protection hidden="1"/>
    </xf>
    <xf numFmtId="0" fontId="4" fillId="0" borderId="8" xfId="1" applyFont="1" applyBorder="1" applyAlignment="1" applyProtection="1">
      <alignment vertical="center"/>
      <protection hidden="1"/>
    </xf>
    <xf numFmtId="0" fontId="3" fillId="0" borderId="0" xfId="1" applyFont="1" applyAlignment="1" applyProtection="1">
      <alignment horizontal="left" vertical="center"/>
      <protection hidden="1"/>
    </xf>
    <xf numFmtId="0" fontId="4" fillId="0" borderId="0" xfId="1" applyFont="1" applyAlignment="1" applyProtection="1">
      <alignment vertical="center"/>
      <protection hidden="1"/>
    </xf>
    <xf numFmtId="0" fontId="5" fillId="0" borderId="0" xfId="1" applyFont="1" applyAlignment="1" applyProtection="1">
      <alignment horizontal="center" vertical="center"/>
      <protection hidden="1"/>
    </xf>
    <xf numFmtId="0" fontId="5" fillId="0" borderId="0" xfId="1" applyFont="1" applyAlignment="1" applyProtection="1">
      <alignment vertical="center"/>
      <protection hidden="1"/>
    </xf>
    <xf numFmtId="0" fontId="4" fillId="0" borderId="0" xfId="1" applyFont="1" applyAlignment="1" applyProtection="1">
      <alignment horizontal="center" vertical="center"/>
      <protection hidden="1"/>
    </xf>
    <xf numFmtId="0" fontId="8" fillId="0" borderId="0" xfId="1" applyFont="1" applyAlignment="1" applyProtection="1">
      <alignment horizontal="right" vertical="center"/>
      <protection hidden="1"/>
    </xf>
    <xf numFmtId="167" fontId="8" fillId="0" borderId="16" xfId="1" applyNumberFormat="1" applyFont="1" applyBorder="1" applyAlignment="1" applyProtection="1">
      <alignment horizontal="center" vertical="center"/>
      <protection hidden="1"/>
    </xf>
    <xf numFmtId="0" fontId="3" fillId="0" borderId="0" xfId="1" applyFont="1" applyAlignment="1" applyProtection="1">
      <alignment horizontal="right" vertical="center"/>
      <protection hidden="1"/>
    </xf>
    <xf numFmtId="165" fontId="3" fillId="0" borderId="0" xfId="1" applyNumberFormat="1" applyFont="1" applyAlignment="1" applyProtection="1">
      <alignment horizontal="center" vertical="center"/>
      <protection hidden="1"/>
    </xf>
    <xf numFmtId="0" fontId="2" fillId="0" borderId="12" xfId="1" applyFont="1" applyBorder="1" applyAlignment="1" applyProtection="1">
      <alignment horizontal="center" vertical="center"/>
      <protection hidden="1"/>
    </xf>
    <xf numFmtId="0" fontId="2" fillId="0" borderId="18" xfId="1" applyFont="1" applyBorder="1" applyAlignment="1" applyProtection="1">
      <alignment vertical="center"/>
      <protection hidden="1"/>
    </xf>
    <xf numFmtId="0" fontId="3" fillId="0" borderId="20" xfId="1" applyFont="1" applyBorder="1" applyAlignment="1" applyProtection="1">
      <alignment horizontal="center" vertical="center"/>
      <protection hidden="1"/>
    </xf>
    <xf numFmtId="0" fontId="2" fillId="4" borderId="1" xfId="1" applyFont="1" applyFill="1" applyBorder="1" applyAlignment="1" applyProtection="1">
      <alignment horizontal="center" vertical="center"/>
      <protection hidden="1"/>
    </xf>
    <xf numFmtId="0" fontId="2" fillId="4" borderId="1" xfId="1" applyFont="1" applyFill="1" applyBorder="1" applyAlignment="1" applyProtection="1">
      <alignment horizontal="center" vertical="center" wrapText="1"/>
      <protection hidden="1"/>
    </xf>
    <xf numFmtId="0" fontId="7" fillId="0" borderId="22" xfId="1" applyFont="1" applyBorder="1" applyAlignment="1" applyProtection="1">
      <alignment horizontal="center" vertical="center" wrapText="1"/>
      <protection hidden="1"/>
    </xf>
    <xf numFmtId="0" fontId="7" fillId="0" borderId="15" xfId="1" applyFont="1" applyBorder="1" applyAlignment="1" applyProtection="1">
      <alignment horizontal="center" vertical="center" wrapText="1"/>
      <protection hidden="1"/>
    </xf>
    <xf numFmtId="0" fontId="3" fillId="0" borderId="15" xfId="1" applyFont="1" applyBorder="1" applyAlignment="1" applyProtection="1">
      <alignment horizontal="center" vertical="center"/>
      <protection hidden="1"/>
    </xf>
    <xf numFmtId="0" fontId="2" fillId="3" borderId="0" xfId="1" applyFont="1" applyFill="1" applyAlignment="1" applyProtection="1">
      <alignment horizontal="center" vertical="center"/>
      <protection hidden="1"/>
    </xf>
    <xf numFmtId="0" fontId="2" fillId="3" borderId="21" xfId="1" applyFont="1" applyFill="1" applyBorder="1" applyAlignment="1" applyProtection="1">
      <alignment horizontal="center" vertical="center"/>
      <protection hidden="1"/>
    </xf>
    <xf numFmtId="0" fontId="2" fillId="3" borderId="12" xfId="1" applyFont="1" applyFill="1" applyBorder="1" applyAlignment="1" applyProtection="1">
      <alignment horizontal="center" vertical="center"/>
      <protection hidden="1"/>
    </xf>
    <xf numFmtId="0" fontId="2" fillId="3" borderId="17" xfId="1" applyFont="1" applyFill="1" applyBorder="1" applyAlignment="1" applyProtection="1">
      <alignment horizontal="center" vertical="center"/>
      <protection hidden="1"/>
    </xf>
    <xf numFmtId="0" fontId="2" fillId="3" borderId="17" xfId="1" applyFont="1" applyFill="1" applyBorder="1" applyAlignment="1" applyProtection="1">
      <alignment vertical="center"/>
      <protection hidden="1"/>
    </xf>
    <xf numFmtId="167" fontId="2" fillId="3" borderId="17" xfId="1" applyNumberFormat="1" applyFont="1" applyFill="1" applyBorder="1" applyAlignment="1" applyProtection="1">
      <alignment vertical="center"/>
      <protection hidden="1"/>
    </xf>
    <xf numFmtId="165" fontId="2" fillId="0" borderId="12" xfId="1" applyNumberFormat="1" applyFont="1" applyBorder="1" applyAlignment="1" applyProtection="1">
      <alignment horizontal="center" vertical="center"/>
      <protection hidden="1"/>
    </xf>
    <xf numFmtId="165" fontId="2" fillId="0" borderId="0" xfId="1" applyNumberFormat="1" applyFont="1" applyAlignment="1" applyProtection="1">
      <alignment horizontal="center" vertical="center"/>
      <protection hidden="1"/>
    </xf>
    <xf numFmtId="165" fontId="6" fillId="0" borderId="0" xfId="1" applyNumberFormat="1" applyFont="1" applyAlignment="1" applyProtection="1">
      <alignment horizontal="center" vertical="center"/>
      <protection hidden="1"/>
    </xf>
    <xf numFmtId="0" fontId="2" fillId="0" borderId="21" xfId="1" applyFont="1" applyBorder="1" applyAlignment="1" applyProtection="1">
      <alignment horizontal="center" vertical="center"/>
      <protection hidden="1"/>
    </xf>
    <xf numFmtId="0" fontId="2" fillId="0" borderId="17" xfId="1" applyFont="1" applyBorder="1" applyAlignment="1" applyProtection="1">
      <alignment horizontal="center" vertical="center"/>
      <protection hidden="1"/>
    </xf>
    <xf numFmtId="167" fontId="2" fillId="0" borderId="17" xfId="1" applyNumberFormat="1" applyFont="1" applyBorder="1" applyAlignment="1" applyProtection="1">
      <alignment vertical="center"/>
      <protection hidden="1"/>
    </xf>
    <xf numFmtId="165" fontId="2" fillId="0" borderId="23" xfId="1" applyNumberFormat="1" applyFont="1" applyBorder="1" applyAlignment="1" applyProtection="1">
      <alignment horizontal="center" vertical="center"/>
      <protection hidden="1"/>
    </xf>
    <xf numFmtId="165" fontId="2" fillId="0" borderId="1" xfId="1" applyNumberFormat="1" applyFont="1" applyBorder="1" applyAlignment="1" applyProtection="1">
      <alignment horizontal="center" vertical="center"/>
      <protection hidden="1"/>
    </xf>
    <xf numFmtId="165" fontId="2" fillId="5" borderId="0" xfId="1" applyNumberFormat="1" applyFont="1" applyFill="1" applyAlignment="1" applyProtection="1">
      <alignment horizontal="center" vertical="center"/>
      <protection hidden="1"/>
    </xf>
    <xf numFmtId="0" fontId="2" fillId="5" borderId="0" xfId="1" applyFont="1" applyFill="1" applyAlignment="1" applyProtection="1">
      <alignment horizontal="center" vertical="center"/>
      <protection hidden="1"/>
    </xf>
    <xf numFmtId="0" fontId="2" fillId="5" borderId="0" xfId="1" applyFont="1" applyFill="1" applyAlignment="1" applyProtection="1">
      <alignment vertical="center"/>
      <protection hidden="1"/>
    </xf>
    <xf numFmtId="0" fontId="2" fillId="0" borderId="4" xfId="1" applyFont="1" applyBorder="1" applyAlignment="1" applyProtection="1">
      <alignment vertical="center"/>
      <protection locked="0"/>
    </xf>
    <xf numFmtId="165" fontId="2" fillId="0" borderId="0" xfId="1" applyNumberFormat="1" applyFont="1" applyAlignment="1" applyProtection="1">
      <alignment horizontal="center" vertical="center"/>
      <protection locked="0"/>
    </xf>
    <xf numFmtId="0" fontId="2" fillId="0" borderId="0" xfId="1" applyFont="1" applyAlignment="1" applyProtection="1">
      <alignment horizontal="center" vertical="center"/>
      <protection locked="0"/>
    </xf>
    <xf numFmtId="0" fontId="3" fillId="4" borderId="20" xfId="1" applyFont="1" applyFill="1" applyBorder="1" applyAlignment="1" applyProtection="1">
      <alignment horizontal="center" vertical="center"/>
      <protection hidden="1"/>
    </xf>
    <xf numFmtId="0" fontId="3" fillId="4" borderId="15" xfId="1" applyFont="1" applyFill="1" applyBorder="1" applyAlignment="1" applyProtection="1">
      <alignment horizontal="center" vertical="center"/>
      <protection hidden="1"/>
    </xf>
    <xf numFmtId="0" fontId="11" fillId="0" borderId="0" xfId="1" applyFont="1" applyAlignment="1" applyProtection="1">
      <alignment horizontal="left" vertical="center"/>
      <protection hidden="1"/>
    </xf>
    <xf numFmtId="166" fontId="5" fillId="0" borderId="0" xfId="1" applyNumberFormat="1" applyFont="1" applyAlignment="1" applyProtection="1">
      <alignment vertical="center"/>
      <protection hidden="1"/>
    </xf>
    <xf numFmtId="166" fontId="10" fillId="0" borderId="0" xfId="0" applyNumberFormat="1" applyFont="1" applyAlignment="1" applyProtection="1">
      <alignment horizontal="center"/>
      <protection hidden="1"/>
    </xf>
    <xf numFmtId="0" fontId="12" fillId="0" borderId="0" xfId="1" applyFont="1" applyAlignment="1" applyProtection="1">
      <alignment vertical="center"/>
      <protection hidden="1"/>
    </xf>
    <xf numFmtId="0" fontId="3" fillId="4" borderId="19" xfId="1" applyFont="1" applyFill="1" applyBorder="1" applyAlignment="1" applyProtection="1">
      <alignment vertical="center"/>
      <protection hidden="1"/>
    </xf>
    <xf numFmtId="0" fontId="3" fillId="4" borderId="13" xfId="1" applyFont="1" applyFill="1" applyBorder="1" applyAlignment="1" applyProtection="1">
      <alignment vertical="center"/>
      <protection hidden="1"/>
    </xf>
    <xf numFmtId="0" fontId="3" fillId="4" borderId="23" xfId="1" applyFont="1" applyFill="1" applyBorder="1" applyAlignment="1" applyProtection="1">
      <alignment vertical="center"/>
      <protection hidden="1"/>
    </xf>
    <xf numFmtId="0" fontId="3" fillId="4" borderId="1" xfId="1" applyFont="1" applyFill="1" applyBorder="1" applyAlignment="1" applyProtection="1">
      <alignment vertical="center"/>
      <protection hidden="1"/>
    </xf>
    <xf numFmtId="0" fontId="5" fillId="0" borderId="1" xfId="1" applyFont="1" applyBorder="1" applyAlignment="1" applyProtection="1">
      <alignment horizontal="center" vertical="center"/>
      <protection hidden="1"/>
    </xf>
    <xf numFmtId="0" fontId="7" fillId="0" borderId="23" xfId="1" applyFont="1" applyBorder="1" applyAlignment="1" applyProtection="1">
      <alignment horizontal="center" vertical="center" wrapText="1"/>
      <protection hidden="1"/>
    </xf>
    <xf numFmtId="0" fontId="3" fillId="0" borderId="0" xfId="1" applyFont="1" applyAlignment="1" applyProtection="1">
      <alignment horizontal="centerContinuous" vertical="center"/>
      <protection hidden="1"/>
    </xf>
    <xf numFmtId="0" fontId="3" fillId="0" borderId="17" xfId="1" applyFont="1" applyBorder="1" applyAlignment="1" applyProtection="1">
      <alignment horizontal="centerContinuous" vertical="center"/>
      <protection hidden="1"/>
    </xf>
    <xf numFmtId="0" fontId="3" fillId="0" borderId="0" xfId="1" applyFont="1" applyAlignment="1" applyProtection="1">
      <alignment horizontal="center" vertical="center"/>
      <protection locked="0"/>
    </xf>
    <xf numFmtId="167" fontId="3" fillId="0" borderId="17" xfId="1" applyNumberFormat="1" applyFont="1" applyBorder="1" applyAlignment="1" applyProtection="1">
      <alignment vertical="center"/>
      <protection hidden="1"/>
    </xf>
    <xf numFmtId="0" fontId="3" fillId="0" borderId="12" xfId="1" applyFont="1" applyBorder="1" applyAlignment="1" applyProtection="1">
      <alignment horizontal="center" vertical="center"/>
      <protection locked="0"/>
    </xf>
    <xf numFmtId="0" fontId="3" fillId="0" borderId="17" xfId="1" applyFont="1" applyBorder="1" applyAlignment="1" applyProtection="1">
      <alignment horizontal="center" vertical="center"/>
      <protection locked="0"/>
    </xf>
    <xf numFmtId="0" fontId="0" fillId="6" borderId="0" xfId="0" applyFill="1"/>
    <xf numFmtId="0" fontId="0" fillId="7" borderId="0" xfId="0" applyFill="1"/>
    <xf numFmtId="164" fontId="0" fillId="7" borderId="0" xfId="0" quotePrefix="1" applyNumberFormat="1" applyFill="1"/>
    <xf numFmtId="0" fontId="0" fillId="8" borderId="0" xfId="0" applyFill="1"/>
    <xf numFmtId="0" fontId="0" fillId="8" borderId="0" xfId="0" quotePrefix="1" applyFill="1"/>
    <xf numFmtId="0" fontId="0" fillId="9" borderId="0" xfId="0" applyFill="1"/>
    <xf numFmtId="0" fontId="0" fillId="9" borderId="0" xfId="0" quotePrefix="1" applyFill="1"/>
    <xf numFmtId="164" fontId="0" fillId="9" borderId="0" xfId="0" quotePrefix="1" applyNumberFormat="1" applyFill="1"/>
    <xf numFmtId="0" fontId="2" fillId="0" borderId="23" xfId="1" applyFont="1" applyBorder="1" applyAlignment="1" applyProtection="1">
      <alignment horizontal="center" vertical="center"/>
      <protection hidden="1"/>
    </xf>
    <xf numFmtId="0" fontId="2" fillId="0" borderId="1" xfId="1" applyFont="1" applyBorder="1" applyAlignment="1" applyProtection="1">
      <alignment horizontal="center" vertical="center"/>
      <protection hidden="1"/>
    </xf>
    <xf numFmtId="0" fontId="2" fillId="0" borderId="22" xfId="1" applyFont="1" applyBorder="1" applyAlignment="1" applyProtection="1">
      <alignment horizontal="center" vertical="center"/>
      <protection hidden="1"/>
    </xf>
    <xf numFmtId="0" fontId="3" fillId="0" borderId="15" xfId="1" applyFont="1" applyBorder="1" applyAlignment="1" applyProtection="1">
      <alignment horizontal="centerContinuous" vertical="center"/>
      <protection hidden="1"/>
    </xf>
    <xf numFmtId="0" fontId="2" fillId="0" borderId="15" xfId="1" applyFont="1" applyBorder="1" applyAlignment="1" applyProtection="1">
      <alignment horizontal="center" vertical="center"/>
      <protection hidden="1"/>
    </xf>
    <xf numFmtId="167" fontId="3" fillId="0" borderId="15" xfId="1" applyNumberFormat="1" applyFont="1" applyBorder="1" applyAlignment="1" applyProtection="1">
      <alignment vertical="center"/>
      <protection hidden="1"/>
    </xf>
    <xf numFmtId="0" fontId="2" fillId="3" borderId="24" xfId="1" applyFont="1" applyFill="1" applyBorder="1" applyAlignment="1" applyProtection="1">
      <alignment vertical="center"/>
      <protection hidden="1"/>
    </xf>
    <xf numFmtId="0" fontId="2" fillId="3" borderId="14" xfId="1" applyFont="1" applyFill="1" applyBorder="1" applyAlignment="1" applyProtection="1">
      <alignment vertical="center"/>
      <protection hidden="1"/>
    </xf>
    <xf numFmtId="0" fontId="13" fillId="3" borderId="14" xfId="1" applyFont="1" applyFill="1" applyBorder="1" applyAlignment="1" applyProtection="1">
      <alignment horizontal="right" vertical="center"/>
      <protection hidden="1"/>
    </xf>
    <xf numFmtId="0" fontId="2" fillId="3" borderId="25" xfId="1" applyFont="1" applyFill="1" applyBorder="1" applyAlignment="1" applyProtection="1">
      <alignment vertical="center"/>
      <protection hidden="1"/>
    </xf>
    <xf numFmtId="0" fontId="13" fillId="3" borderId="0" xfId="1" applyFont="1" applyFill="1" applyAlignment="1" applyProtection="1">
      <alignment horizontal="right" vertical="center"/>
      <protection hidden="1"/>
    </xf>
    <xf numFmtId="0" fontId="13" fillId="3" borderId="0" xfId="1" applyFont="1" applyFill="1" applyAlignment="1" applyProtection="1">
      <alignment horizontal="center" vertical="center"/>
      <protection hidden="1"/>
    </xf>
    <xf numFmtId="0" fontId="2" fillId="0" borderId="27" xfId="1" applyFont="1" applyBorder="1" applyAlignment="1" applyProtection="1">
      <alignment horizontal="center" vertical="center"/>
      <protection locked="0"/>
    </xf>
    <xf numFmtId="0" fontId="2" fillId="0" borderId="26" xfId="1" applyFont="1" applyBorder="1" applyAlignment="1" applyProtection="1">
      <alignment horizontal="center" vertical="center"/>
      <protection locked="0"/>
    </xf>
    <xf numFmtId="0" fontId="2" fillId="0" borderId="0" xfId="1" applyFont="1" applyAlignment="1" applyProtection="1">
      <alignment horizontal="right" vertical="center"/>
      <protection hidden="1"/>
    </xf>
    <xf numFmtId="167" fontId="2" fillId="0" borderId="0" xfId="1" applyNumberFormat="1" applyFont="1" applyAlignment="1" applyProtection="1">
      <alignment vertical="center"/>
      <protection hidden="1"/>
    </xf>
    <xf numFmtId="167" fontId="3" fillId="0" borderId="0" xfId="1" applyNumberFormat="1" applyFont="1" applyAlignment="1" applyProtection="1">
      <alignment vertical="center"/>
      <protection hidden="1"/>
    </xf>
    <xf numFmtId="0" fontId="14" fillId="0" borderId="0" xfId="0" applyFont="1"/>
    <xf numFmtId="0" fontId="2" fillId="0" borderId="0" xfId="1" applyFont="1" applyAlignment="1" applyProtection="1">
      <alignment horizontal="center" vertical="center"/>
      <protection locked="0" hidden="1"/>
    </xf>
    <xf numFmtId="0" fontId="2" fillId="0" borderId="0" xfId="1" applyFont="1" applyAlignment="1" applyProtection="1">
      <alignment vertical="center"/>
      <protection locked="0" hidden="1"/>
    </xf>
    <xf numFmtId="0" fontId="8" fillId="0" borderId="11" xfId="1" applyFont="1" applyBorder="1" applyAlignment="1" applyProtection="1">
      <alignment horizontal="center" vertical="center"/>
      <protection hidden="1"/>
    </xf>
    <xf numFmtId="0" fontId="8" fillId="0" borderId="11" xfId="1" applyFont="1" applyBorder="1" applyAlignment="1" applyProtection="1">
      <alignment horizontal="center" vertical="center"/>
      <protection locked="0"/>
    </xf>
    <xf numFmtId="0" fontId="16" fillId="0" borderId="0" xfId="2" applyFont="1" applyAlignment="1" applyProtection="1">
      <alignment horizontal="left" vertical="top"/>
      <protection hidden="1"/>
    </xf>
    <xf numFmtId="0" fontId="15" fillId="0" borderId="0" xfId="2" applyAlignment="1" applyProtection="1">
      <alignment horizontal="left" vertical="top"/>
      <protection hidden="1"/>
    </xf>
    <xf numFmtId="0" fontId="17" fillId="0" borderId="0" xfId="2" applyFont="1" applyAlignment="1" applyProtection="1">
      <alignment horizontal="left" vertical="top"/>
      <protection hidden="1"/>
    </xf>
    <xf numFmtId="0" fontId="15" fillId="0" borderId="28" xfId="2" applyBorder="1" applyAlignment="1" applyProtection="1">
      <alignment horizontal="left" vertical="top"/>
      <protection hidden="1"/>
    </xf>
    <xf numFmtId="0" fontId="18" fillId="0" borderId="28" xfId="2" applyFont="1" applyBorder="1" applyAlignment="1" applyProtection="1">
      <alignment horizontal="left" vertical="center" wrapText="1"/>
      <protection hidden="1"/>
    </xf>
    <xf numFmtId="0" fontId="16" fillId="0" borderId="28" xfId="2" applyFont="1" applyBorder="1" applyAlignment="1" applyProtection="1">
      <alignment horizontal="left" vertical="center" wrapText="1"/>
      <protection hidden="1"/>
    </xf>
    <xf numFmtId="0" fontId="16" fillId="0" borderId="28" xfId="2" applyFont="1" applyBorder="1" applyAlignment="1" applyProtection="1">
      <alignment vertical="center" wrapText="1"/>
      <protection hidden="1"/>
    </xf>
    <xf numFmtId="0" fontId="16" fillId="0" borderId="34" xfId="2" applyFont="1" applyBorder="1" applyAlignment="1" applyProtection="1">
      <alignment vertical="center" wrapText="1"/>
      <protection hidden="1"/>
    </xf>
    <xf numFmtId="0" fontId="18" fillId="0" borderId="29" xfId="2" applyFont="1" applyBorder="1" applyAlignment="1" applyProtection="1">
      <alignment horizontal="left" vertical="center" wrapText="1"/>
      <protection hidden="1"/>
    </xf>
    <xf numFmtId="0" fontId="16" fillId="0" borderId="35" xfId="2" applyFont="1" applyBorder="1" applyAlignment="1" applyProtection="1">
      <alignment wrapText="1"/>
      <protection hidden="1"/>
    </xf>
    <xf numFmtId="0" fontId="16" fillId="0" borderId="0" xfId="2" applyFont="1" applyAlignment="1" applyProtection="1">
      <alignment vertical="top" wrapText="1"/>
      <protection hidden="1"/>
    </xf>
    <xf numFmtId="0" fontId="16" fillId="0" borderId="36" xfId="2" applyFont="1" applyBorder="1" applyAlignment="1" applyProtection="1">
      <alignment vertical="top" wrapText="1"/>
      <protection hidden="1"/>
    </xf>
    <xf numFmtId="0" fontId="16" fillId="0" borderId="40" xfId="2" applyFont="1" applyBorder="1" applyAlignment="1" applyProtection="1">
      <alignment horizontal="left" vertical="top" wrapText="1"/>
      <protection hidden="1"/>
    </xf>
    <xf numFmtId="0" fontId="15" fillId="10" borderId="40" xfId="2" applyFill="1" applyBorder="1" applyAlignment="1" applyProtection="1">
      <alignment horizontal="left" vertical="top" wrapText="1"/>
      <protection hidden="1"/>
    </xf>
    <xf numFmtId="0" fontId="15" fillId="0" borderId="0" xfId="2" applyAlignment="1" applyProtection="1">
      <alignment horizontal="left" vertical="top" wrapText="1"/>
      <protection hidden="1"/>
    </xf>
    <xf numFmtId="0" fontId="19" fillId="0" borderId="0" xfId="2" applyFont="1" applyAlignment="1" applyProtection="1">
      <alignment horizontal="left" vertical="top"/>
      <protection hidden="1"/>
    </xf>
    <xf numFmtId="0" fontId="20" fillId="0" borderId="0" xfId="2" applyFont="1" applyAlignment="1" applyProtection="1">
      <alignment horizontal="left" vertical="top"/>
      <protection hidden="1"/>
    </xf>
    <xf numFmtId="0" fontId="16" fillId="0" borderId="40" xfId="2" applyFont="1" applyBorder="1" applyAlignment="1" applyProtection="1">
      <alignment horizontal="center" vertical="top" wrapText="1"/>
      <protection hidden="1"/>
    </xf>
    <xf numFmtId="0" fontId="20" fillId="0" borderId="0" xfId="2" applyFont="1" applyAlignment="1" applyProtection="1">
      <alignment horizontal="left"/>
      <protection hidden="1"/>
    </xf>
    <xf numFmtId="0" fontId="23" fillId="0" borderId="0" xfId="2" applyFont="1" applyAlignment="1" applyProtection="1">
      <alignment horizontal="left"/>
      <protection hidden="1"/>
    </xf>
    <xf numFmtId="0" fontId="19" fillId="0" borderId="0" xfId="2" applyFont="1" applyAlignment="1" applyProtection="1">
      <alignment horizontal="left"/>
      <protection hidden="1"/>
    </xf>
    <xf numFmtId="0" fontId="15" fillId="0" borderId="0" xfId="2" applyAlignment="1" applyProtection="1">
      <alignment horizontal="left" wrapText="1"/>
      <protection hidden="1"/>
    </xf>
    <xf numFmtId="0" fontId="23" fillId="0" borderId="0" xfId="2" applyFont="1" applyAlignment="1" applyProtection="1">
      <alignment horizontal="left" vertical="top"/>
      <protection hidden="1"/>
    </xf>
    <xf numFmtId="0" fontId="16" fillId="11" borderId="40" xfId="2" applyFont="1" applyFill="1" applyBorder="1" applyAlignment="1" applyProtection="1">
      <alignment horizontal="left" vertical="top" wrapText="1"/>
      <protection hidden="1"/>
    </xf>
    <xf numFmtId="0" fontId="19" fillId="0" borderId="0" xfId="2" applyFont="1" applyAlignment="1" applyProtection="1">
      <alignment horizontal="right"/>
      <protection hidden="1"/>
    </xf>
    <xf numFmtId="0" fontId="2" fillId="3" borderId="3" xfId="1" applyFont="1" applyFill="1" applyBorder="1" applyAlignment="1" applyProtection="1">
      <alignment vertical="center"/>
      <protection hidden="1"/>
    </xf>
    <xf numFmtId="0" fontId="3" fillId="3" borderId="3" xfId="1" applyFont="1" applyFill="1" applyBorder="1" applyAlignment="1" applyProtection="1">
      <alignment horizontal="right" vertical="center"/>
      <protection hidden="1"/>
    </xf>
    <xf numFmtId="0" fontId="2" fillId="0" borderId="42" xfId="1" applyFont="1" applyBorder="1" applyAlignment="1" applyProtection="1">
      <alignment horizontal="center" vertical="center"/>
      <protection hidden="1"/>
    </xf>
    <xf numFmtId="0" fontId="27" fillId="0" borderId="0" xfId="1" applyFont="1" applyAlignment="1" applyProtection="1">
      <alignment horizontal="center" vertical="center"/>
      <protection hidden="1"/>
    </xf>
    <xf numFmtId="0" fontId="2" fillId="0" borderId="0" xfId="1" quotePrefix="1" applyFont="1" applyAlignment="1" applyProtection="1">
      <alignment vertical="center"/>
      <protection hidden="1"/>
    </xf>
    <xf numFmtId="167" fontId="27" fillId="0" borderId="0" xfId="1" applyNumberFormat="1" applyFont="1" applyAlignment="1" applyProtection="1">
      <alignment vertical="center"/>
      <protection hidden="1"/>
    </xf>
    <xf numFmtId="0" fontId="27" fillId="0" borderId="0" xfId="1" applyFont="1" applyAlignment="1" applyProtection="1">
      <alignment vertical="center"/>
      <protection hidden="1"/>
    </xf>
    <xf numFmtId="0" fontId="28" fillId="0" borderId="0" xfId="1" applyFont="1" applyAlignment="1" applyProtection="1">
      <alignment vertical="center"/>
      <protection hidden="1"/>
    </xf>
    <xf numFmtId="45" fontId="27" fillId="0" borderId="0" xfId="1" applyNumberFormat="1" applyFont="1" applyAlignment="1" applyProtection="1">
      <alignment vertical="center"/>
      <protection hidden="1"/>
    </xf>
    <xf numFmtId="166" fontId="27" fillId="0" borderId="0" xfId="1" applyNumberFormat="1" applyFont="1" applyAlignment="1" applyProtection="1">
      <alignment vertical="center"/>
      <protection hidden="1"/>
    </xf>
    <xf numFmtId="1" fontId="27" fillId="0" borderId="0" xfId="1" applyNumberFormat="1" applyFont="1" applyAlignment="1" applyProtection="1">
      <alignment vertical="center"/>
      <protection hidden="1"/>
    </xf>
    <xf numFmtId="167" fontId="29" fillId="0" borderId="0" xfId="1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/>
      <protection hidden="1"/>
    </xf>
    <xf numFmtId="0" fontId="30" fillId="0" borderId="0" xfId="1" applyFont="1" applyAlignment="1" applyProtection="1">
      <alignment horizontal="center" vertical="center"/>
      <protection hidden="1"/>
    </xf>
    <xf numFmtId="0" fontId="26" fillId="0" borderId="0" xfId="1" applyFont="1" applyAlignment="1" applyProtection="1">
      <alignment horizontal="center" vertical="center"/>
      <protection hidden="1"/>
    </xf>
    <xf numFmtId="166" fontId="27" fillId="0" borderId="0" xfId="1" applyNumberFormat="1" applyFont="1" applyAlignment="1" applyProtection="1">
      <alignment horizontal="center" vertical="center"/>
      <protection hidden="1"/>
    </xf>
    <xf numFmtId="167" fontId="26" fillId="0" borderId="0" xfId="1" applyNumberFormat="1" applyFont="1" applyAlignment="1" applyProtection="1">
      <alignment vertical="center"/>
      <protection hidden="1"/>
    </xf>
    <xf numFmtId="45" fontId="27" fillId="0" borderId="0" xfId="1" applyNumberFormat="1" applyFont="1" applyAlignment="1" applyProtection="1">
      <alignment horizontal="center" vertical="center"/>
      <protection hidden="1"/>
    </xf>
    <xf numFmtId="0" fontId="27" fillId="5" borderId="0" xfId="1" applyFont="1" applyFill="1" applyAlignment="1" applyProtection="1">
      <alignment vertical="center"/>
      <protection hidden="1"/>
    </xf>
    <xf numFmtId="0" fontId="27" fillId="0" borderId="0" xfId="1" applyFont="1" applyAlignment="1" applyProtection="1">
      <alignment vertical="center"/>
      <protection locked="0" hidden="1"/>
    </xf>
    <xf numFmtId="0" fontId="26" fillId="0" borderId="0" xfId="1" applyFont="1" applyAlignment="1" applyProtection="1">
      <alignment horizontal="left" vertical="center"/>
      <protection hidden="1"/>
    </xf>
    <xf numFmtId="0" fontId="3" fillId="0" borderId="23" xfId="1" applyFont="1" applyBorder="1" applyAlignment="1" applyProtection="1">
      <alignment horizontal="centerContinuous" vertical="center"/>
      <protection hidden="1"/>
    </xf>
    <xf numFmtId="0" fontId="6" fillId="0" borderId="0" xfId="1" applyFont="1" applyAlignment="1" applyProtection="1">
      <alignment horizontal="center" vertical="center"/>
      <protection hidden="1"/>
    </xf>
    <xf numFmtId="0" fontId="6" fillId="0" borderId="0" xfId="1" applyFont="1" applyAlignment="1" applyProtection="1">
      <alignment vertical="center"/>
      <protection hidden="1"/>
    </xf>
    <xf numFmtId="0" fontId="6" fillId="0" borderId="0" xfId="1" applyFont="1" applyAlignment="1" applyProtection="1">
      <alignment vertical="center"/>
      <protection locked="0" hidden="1"/>
    </xf>
    <xf numFmtId="0" fontId="6" fillId="0" borderId="0" xfId="1" applyFont="1" applyAlignment="1" applyProtection="1">
      <alignment horizontal="center" vertical="center"/>
      <protection locked="0" hidden="1"/>
    </xf>
    <xf numFmtId="0" fontId="0" fillId="7" borderId="0" xfId="0" applyFill="1" applyAlignment="1">
      <alignment horizontal="left"/>
    </xf>
    <xf numFmtId="0" fontId="21" fillId="0" borderId="40" xfId="2" applyFont="1" applyBorder="1" applyAlignment="1" applyProtection="1">
      <alignment horizontal="center" vertical="center" wrapText="1"/>
      <protection hidden="1"/>
    </xf>
    <xf numFmtId="0" fontId="21" fillId="0" borderId="28" xfId="2" applyFont="1" applyBorder="1" applyAlignment="1" applyProtection="1">
      <alignment horizontal="center" vertical="center" wrapText="1"/>
      <protection hidden="1"/>
    </xf>
    <xf numFmtId="0" fontId="21" fillId="0" borderId="30" xfId="2" applyFont="1" applyBorder="1" applyAlignment="1" applyProtection="1">
      <alignment horizontal="center" vertical="center" wrapText="1"/>
      <protection hidden="1"/>
    </xf>
    <xf numFmtId="167" fontId="21" fillId="0" borderId="40" xfId="2" applyNumberFormat="1" applyFont="1" applyBorder="1" applyAlignment="1" applyProtection="1">
      <alignment horizontal="right" vertical="center" wrapText="1"/>
      <protection hidden="1"/>
    </xf>
    <xf numFmtId="0" fontId="21" fillId="0" borderId="32" xfId="2" applyFont="1" applyBorder="1" applyAlignment="1" applyProtection="1">
      <alignment horizontal="center" vertical="center" wrapText="1"/>
      <protection hidden="1"/>
    </xf>
    <xf numFmtId="0" fontId="3" fillId="0" borderId="0" xfId="1" applyFont="1" applyAlignment="1" applyProtection="1">
      <alignment horizontal="center" vertical="center" shrinkToFit="1"/>
      <protection locked="0"/>
    </xf>
    <xf numFmtId="0" fontId="2" fillId="3" borderId="0" xfId="1" applyFont="1" applyFill="1" applyAlignment="1" applyProtection="1">
      <alignment vertical="center" shrinkToFit="1"/>
      <protection hidden="1"/>
    </xf>
    <xf numFmtId="0" fontId="13" fillId="3" borderId="12" xfId="1" applyFont="1" applyFill="1" applyBorder="1" applyAlignment="1" applyProtection="1">
      <alignment vertical="center" shrinkToFit="1"/>
      <protection hidden="1"/>
    </xf>
    <xf numFmtId="0" fontId="13" fillId="3" borderId="0" xfId="1" applyFont="1" applyFill="1" applyAlignment="1" applyProtection="1">
      <alignment vertical="center" shrinkToFit="1"/>
      <protection hidden="1"/>
    </xf>
    <xf numFmtId="0" fontId="13" fillId="3" borderId="17" xfId="1" applyFont="1" applyFill="1" applyBorder="1" applyAlignment="1" applyProtection="1">
      <alignment vertical="center" shrinkToFit="1"/>
      <protection hidden="1"/>
    </xf>
    <xf numFmtId="0" fontId="3" fillId="0" borderId="12" xfId="1" applyFont="1" applyBorder="1" applyAlignment="1" applyProtection="1">
      <alignment horizontal="center" vertical="center" shrinkToFit="1"/>
      <protection locked="0"/>
    </xf>
    <xf numFmtId="0" fontId="3" fillId="0" borderId="17" xfId="1" applyFont="1" applyBorder="1" applyAlignment="1" applyProtection="1">
      <alignment horizontal="center" vertical="center" shrinkToFit="1"/>
      <protection locked="0"/>
    </xf>
    <xf numFmtId="0" fontId="33" fillId="0" borderId="1" xfId="1" applyFont="1" applyBorder="1" applyAlignment="1" applyProtection="1">
      <alignment horizontal="right" vertical="center"/>
      <protection hidden="1"/>
    </xf>
    <xf numFmtId="0" fontId="33" fillId="0" borderId="23" xfId="1" applyFont="1" applyBorder="1" applyAlignment="1" applyProtection="1">
      <alignment horizontal="right" vertical="center"/>
      <protection hidden="1"/>
    </xf>
    <xf numFmtId="0" fontId="27" fillId="0" borderId="0" xfId="1" applyFont="1" applyAlignment="1" applyProtection="1">
      <alignment horizontal="left" vertical="center"/>
      <protection hidden="1"/>
    </xf>
    <xf numFmtId="164" fontId="3" fillId="0" borderId="0" xfId="1" applyNumberFormat="1" applyFont="1" applyAlignment="1" applyProtection="1">
      <alignment horizontal="center" vertical="center" shrinkToFit="1"/>
      <protection locked="0"/>
    </xf>
    <xf numFmtId="0" fontId="3" fillId="0" borderId="0" xfId="1" quotePrefix="1" applyFont="1" applyAlignment="1" applyProtection="1">
      <alignment horizontal="center" vertical="center" shrinkToFit="1"/>
      <protection locked="0"/>
    </xf>
    <xf numFmtId="0" fontId="28" fillId="0" borderId="0" xfId="1" applyFont="1" applyAlignment="1" applyProtection="1">
      <alignment horizontal="left" vertical="center"/>
      <protection hidden="1"/>
    </xf>
    <xf numFmtId="167" fontId="2" fillId="2" borderId="0" xfId="1" applyNumberFormat="1" applyFont="1" applyFill="1" applyAlignment="1" applyProtection="1">
      <alignment vertical="center"/>
      <protection hidden="1"/>
    </xf>
    <xf numFmtId="0" fontId="34" fillId="0" borderId="0" xfId="2" applyFont="1" applyAlignment="1" applyProtection="1">
      <alignment horizontal="left" vertical="center"/>
      <protection hidden="1"/>
    </xf>
    <xf numFmtId="0" fontId="2" fillId="0" borderId="4" xfId="1" applyFont="1" applyBorder="1" applyAlignment="1">
      <alignment vertical="center"/>
    </xf>
    <xf numFmtId="0" fontId="5" fillId="2" borderId="0" xfId="1" applyFont="1" applyFill="1" applyAlignment="1" applyProtection="1">
      <alignment horizontal="right" vertical="center"/>
      <protection hidden="1"/>
    </xf>
    <xf numFmtId="0" fontId="14" fillId="0" borderId="25" xfId="0" applyFont="1" applyBorder="1"/>
    <xf numFmtId="0" fontId="14" fillId="0" borderId="44" xfId="0" applyFont="1" applyBorder="1"/>
    <xf numFmtId="0" fontId="40" fillId="0" borderId="0" xfId="0" applyFont="1"/>
    <xf numFmtId="0" fontId="41" fillId="0" borderId="0" xfId="0" applyFont="1"/>
    <xf numFmtId="0" fontId="39" fillId="0" borderId="45" xfId="0" applyFont="1" applyBorder="1" applyAlignment="1">
      <alignment horizontal="center"/>
    </xf>
    <xf numFmtId="0" fontId="14" fillId="0" borderId="46" xfId="0" applyFont="1" applyBorder="1" applyAlignment="1">
      <alignment horizontal="center"/>
    </xf>
    <xf numFmtId="0" fontId="14" fillId="0" borderId="47" xfId="0" applyFont="1" applyBorder="1" applyAlignment="1">
      <alignment horizontal="center"/>
    </xf>
    <xf numFmtId="0" fontId="36" fillId="0" borderId="19" xfId="0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7" fillId="0" borderId="23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38" fillId="0" borderId="24" xfId="0" applyFont="1" applyBorder="1" applyAlignment="1">
      <alignment horizontal="center" wrapText="1"/>
    </xf>
    <xf numFmtId="0" fontId="38" fillId="0" borderId="14" xfId="0" applyFont="1" applyBorder="1" applyAlignment="1">
      <alignment horizontal="center" wrapText="1"/>
    </xf>
    <xf numFmtId="0" fontId="38" fillId="0" borderId="43" xfId="0" applyFont="1" applyBorder="1" applyAlignment="1">
      <alignment horizontal="center" wrapText="1"/>
    </xf>
    <xf numFmtId="0" fontId="38" fillId="0" borderId="25" xfId="0" applyFont="1" applyBorder="1" applyAlignment="1">
      <alignment horizontal="center" wrapText="1"/>
    </xf>
    <xf numFmtId="0" fontId="38" fillId="0" borderId="0" xfId="0" applyFont="1" applyAlignment="1">
      <alignment horizontal="center" wrapText="1"/>
    </xf>
    <xf numFmtId="0" fontId="38" fillId="0" borderId="44" xfId="0" applyFont="1" applyBorder="1" applyAlignment="1">
      <alignment horizontal="center" wrapText="1"/>
    </xf>
    <xf numFmtId="0" fontId="14" fillId="0" borderId="25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44" xfId="0" applyFont="1" applyBorder="1" applyAlignment="1">
      <alignment horizontal="center" wrapText="1"/>
    </xf>
    <xf numFmtId="0" fontId="35" fillId="2" borderId="0" xfId="1" applyFont="1" applyFill="1" applyAlignment="1" applyProtection="1">
      <alignment horizontal="center" vertical="center"/>
      <protection hidden="1"/>
    </xf>
    <xf numFmtId="0" fontId="35" fillId="2" borderId="1" xfId="1" applyFont="1" applyFill="1" applyBorder="1" applyAlignment="1" applyProtection="1">
      <alignment horizontal="center" vertical="center"/>
      <protection hidden="1"/>
    </xf>
    <xf numFmtId="0" fontId="3" fillId="0" borderId="2" xfId="1" applyFont="1" applyBorder="1" applyAlignment="1" applyProtection="1">
      <alignment horizontal="left" vertical="center"/>
      <protection locked="0" hidden="1"/>
    </xf>
    <xf numFmtId="0" fontId="3" fillId="0" borderId="3" xfId="1" applyFont="1" applyBorder="1" applyAlignment="1" applyProtection="1">
      <alignment horizontal="left" vertical="center"/>
      <protection locked="0" hidden="1"/>
    </xf>
    <xf numFmtId="0" fontId="4" fillId="0" borderId="3" xfId="1" applyFont="1" applyBorder="1" applyAlignment="1" applyProtection="1">
      <alignment vertical="center"/>
      <protection locked="0" hidden="1"/>
    </xf>
    <xf numFmtId="0" fontId="3" fillId="0" borderId="4" xfId="1" applyFont="1" applyBorder="1" applyAlignment="1" applyProtection="1">
      <alignment horizontal="left" vertical="center"/>
      <protection hidden="1"/>
    </xf>
    <xf numFmtId="0" fontId="3" fillId="0" borderId="5" xfId="1" applyFont="1" applyBorder="1" applyAlignment="1" applyProtection="1">
      <alignment horizontal="left" vertical="center"/>
      <protection hidden="1"/>
    </xf>
    <xf numFmtId="0" fontId="4" fillId="0" borderId="5" xfId="1" applyFont="1" applyBorder="1" applyAlignment="1" applyProtection="1">
      <alignment vertical="center"/>
      <protection hidden="1"/>
    </xf>
    <xf numFmtId="0" fontId="2" fillId="0" borderId="4" xfId="1" applyFont="1" applyBorder="1" applyAlignment="1">
      <alignment horizontal="left" vertical="center"/>
    </xf>
    <xf numFmtId="0" fontId="2" fillId="0" borderId="5" xfId="1" applyFont="1" applyBorder="1" applyAlignment="1">
      <alignment horizontal="left" vertical="center"/>
    </xf>
    <xf numFmtId="0" fontId="2" fillId="0" borderId="6" xfId="1" applyFont="1" applyBorder="1" applyAlignment="1">
      <alignment horizontal="left" vertical="center"/>
    </xf>
    <xf numFmtId="0" fontId="4" fillId="3" borderId="3" xfId="1" applyFont="1" applyFill="1" applyBorder="1" applyAlignment="1" applyProtection="1">
      <alignment horizontal="center" vertical="center"/>
      <protection hidden="1"/>
    </xf>
    <xf numFmtId="0" fontId="4" fillId="3" borderId="41" xfId="1" applyFont="1" applyFill="1" applyBorder="1" applyAlignment="1" applyProtection="1">
      <alignment horizontal="center" vertical="center"/>
      <protection hidden="1"/>
    </xf>
    <xf numFmtId="0" fontId="2" fillId="0" borderId="1" xfId="1" applyFont="1" applyBorder="1" applyAlignment="1" applyProtection="1">
      <alignment horizontal="left" vertical="center"/>
      <protection locked="0"/>
    </xf>
    <xf numFmtId="0" fontId="2" fillId="0" borderId="15" xfId="1" applyFont="1" applyBorder="1" applyAlignment="1" applyProtection="1">
      <alignment horizontal="left" vertical="center"/>
      <protection locked="0"/>
    </xf>
    <xf numFmtId="0" fontId="2" fillId="0" borderId="2" xfId="1" applyFont="1" applyBorder="1" applyAlignment="1" applyProtection="1">
      <alignment horizontal="left" vertical="center"/>
      <protection locked="0" hidden="1"/>
    </xf>
    <xf numFmtId="0" fontId="2" fillId="0" borderId="3" xfId="1" applyFont="1" applyBorder="1" applyAlignment="1" applyProtection="1">
      <alignment horizontal="left" vertical="center"/>
      <protection locked="0" hidden="1"/>
    </xf>
    <xf numFmtId="0" fontId="27" fillId="0" borderId="0" xfId="1" applyFont="1" applyAlignment="1" applyProtection="1">
      <alignment horizontal="left" vertical="center"/>
      <protection hidden="1"/>
    </xf>
    <xf numFmtId="0" fontId="2" fillId="0" borderId="23" xfId="1" applyFont="1" applyBorder="1" applyAlignment="1" applyProtection="1">
      <alignment horizontal="center" vertical="center"/>
      <protection hidden="1"/>
    </xf>
    <xf numFmtId="0" fontId="2" fillId="0" borderId="1" xfId="1" applyFont="1" applyBorder="1" applyAlignment="1" applyProtection="1">
      <alignment horizontal="center" vertical="center"/>
      <protection hidden="1"/>
    </xf>
    <xf numFmtId="0" fontId="2" fillId="4" borderId="1" xfId="1" applyFont="1" applyFill="1" applyBorder="1" applyAlignment="1" applyProtection="1">
      <alignment horizontal="center" vertical="center"/>
      <protection hidden="1"/>
    </xf>
    <xf numFmtId="0" fontId="3" fillId="0" borderId="7" xfId="1" applyFont="1" applyBorder="1" applyAlignment="1" applyProtection="1">
      <alignment horizontal="left" vertical="center"/>
      <protection hidden="1"/>
    </xf>
    <xf numFmtId="0" fontId="3" fillId="0" borderId="8" xfId="1" applyFont="1" applyBorder="1" applyAlignment="1" applyProtection="1">
      <alignment horizontal="left" vertical="center"/>
      <protection hidden="1"/>
    </xf>
    <xf numFmtId="0" fontId="4" fillId="0" borderId="8" xfId="1" applyFont="1" applyBorder="1" applyAlignment="1" applyProtection="1">
      <alignment vertical="center"/>
      <protection hidden="1"/>
    </xf>
    <xf numFmtId="0" fontId="2" fillId="0" borderId="7" xfId="1" applyFont="1" applyBorder="1" applyAlignment="1" applyProtection="1">
      <alignment horizontal="left" vertical="center"/>
      <protection locked="0"/>
    </xf>
    <xf numFmtId="0" fontId="3" fillId="0" borderId="9" xfId="1" applyFont="1" applyBorder="1" applyAlignment="1" applyProtection="1">
      <alignment horizontal="center" vertical="center"/>
      <protection hidden="1"/>
    </xf>
    <xf numFmtId="0" fontId="3" fillId="0" borderId="10" xfId="1" applyFont="1" applyBorder="1" applyAlignment="1" applyProtection="1">
      <alignment horizontal="center" vertical="center"/>
      <protection hidden="1"/>
    </xf>
    <xf numFmtId="0" fontId="1" fillId="0" borderId="10" xfId="1" applyBorder="1" applyAlignment="1" applyProtection="1">
      <alignment horizontal="center" vertical="center"/>
      <protection hidden="1"/>
    </xf>
    <xf numFmtId="0" fontId="1" fillId="0" borderId="11" xfId="1" applyBorder="1" applyAlignment="1" applyProtection="1">
      <alignment horizontal="center" vertical="center"/>
      <protection hidden="1"/>
    </xf>
    <xf numFmtId="0" fontId="3" fillId="0" borderId="19" xfId="1" applyFont="1" applyBorder="1" applyAlignment="1" applyProtection="1">
      <alignment horizontal="center" vertical="center"/>
      <protection hidden="1"/>
    </xf>
    <xf numFmtId="0" fontId="3" fillId="0" borderId="20" xfId="1" applyFont="1" applyBorder="1" applyAlignment="1" applyProtection="1">
      <alignment horizontal="center" vertical="center"/>
      <protection hidden="1"/>
    </xf>
    <xf numFmtId="0" fontId="3" fillId="4" borderId="19" xfId="1" applyFont="1" applyFill="1" applyBorder="1" applyAlignment="1" applyProtection="1">
      <alignment horizontal="center" vertical="center"/>
      <protection hidden="1"/>
    </xf>
    <xf numFmtId="0" fontId="3" fillId="4" borderId="13" xfId="1" applyFont="1" applyFill="1" applyBorder="1" applyAlignment="1" applyProtection="1">
      <alignment horizontal="center" vertical="center"/>
      <protection hidden="1"/>
    </xf>
    <xf numFmtId="0" fontId="3" fillId="4" borderId="20" xfId="1" applyFont="1" applyFill="1" applyBorder="1" applyAlignment="1" applyProtection="1">
      <alignment horizontal="center" vertical="center"/>
      <protection hidden="1"/>
    </xf>
    <xf numFmtId="0" fontId="3" fillId="4" borderId="23" xfId="1" applyFont="1" applyFill="1" applyBorder="1" applyAlignment="1" applyProtection="1">
      <alignment horizontal="center" vertical="center"/>
      <protection hidden="1"/>
    </xf>
    <xf numFmtId="0" fontId="3" fillId="4" borderId="1" xfId="1" applyFont="1" applyFill="1" applyBorder="1" applyAlignment="1" applyProtection="1">
      <alignment horizontal="center" vertical="center"/>
      <protection hidden="1"/>
    </xf>
    <xf numFmtId="0" fontId="3" fillId="4" borderId="15" xfId="1" applyFont="1" applyFill="1" applyBorder="1" applyAlignment="1" applyProtection="1">
      <alignment horizontal="center" vertical="center"/>
      <protection hidden="1"/>
    </xf>
    <xf numFmtId="0" fontId="16" fillId="0" borderId="28" xfId="2" applyFont="1" applyBorder="1" applyAlignment="1" applyProtection="1">
      <alignment horizontal="left" vertical="center" wrapText="1"/>
      <protection hidden="1"/>
    </xf>
    <xf numFmtId="0" fontId="16" fillId="0" borderId="29" xfId="2" applyFont="1" applyBorder="1" applyAlignment="1" applyProtection="1">
      <alignment horizontal="left" vertical="center" wrapText="1"/>
      <protection hidden="1"/>
    </xf>
    <xf numFmtId="0" fontId="16" fillId="0" borderId="30" xfId="2" applyFont="1" applyBorder="1" applyAlignment="1" applyProtection="1">
      <alignment horizontal="left" vertical="center" wrapText="1"/>
      <protection hidden="1"/>
    </xf>
    <xf numFmtId="0" fontId="16" fillId="0" borderId="28" xfId="2" applyFont="1" applyBorder="1" applyAlignment="1" applyProtection="1">
      <alignment horizontal="right" vertical="top" wrapText="1"/>
      <protection hidden="1"/>
    </xf>
    <xf numFmtId="0" fontId="16" fillId="0" borderId="29" xfId="2" applyFont="1" applyBorder="1" applyAlignment="1" applyProtection="1">
      <alignment horizontal="right" vertical="top" wrapText="1"/>
      <protection hidden="1"/>
    </xf>
    <xf numFmtId="0" fontId="16" fillId="0" borderId="30" xfId="2" applyFont="1" applyBorder="1" applyAlignment="1" applyProtection="1">
      <alignment horizontal="right" vertical="top" wrapText="1"/>
      <protection hidden="1"/>
    </xf>
    <xf numFmtId="0" fontId="15" fillId="0" borderId="29" xfId="2" applyBorder="1" applyAlignment="1" applyProtection="1">
      <alignment horizontal="left" vertical="top" wrapText="1"/>
      <protection hidden="1"/>
    </xf>
    <xf numFmtId="0" fontId="15" fillId="0" borderId="30" xfId="2" applyBorder="1" applyAlignment="1" applyProtection="1">
      <alignment horizontal="left" vertical="top" wrapText="1"/>
      <protection hidden="1"/>
    </xf>
    <xf numFmtId="0" fontId="16" fillId="0" borderId="31" xfId="2" applyFont="1" applyBorder="1" applyAlignment="1" applyProtection="1">
      <alignment horizontal="right" vertical="top" wrapText="1"/>
      <protection hidden="1"/>
    </xf>
    <xf numFmtId="0" fontId="16" fillId="0" borderId="32" xfId="2" applyFont="1" applyBorder="1" applyAlignment="1" applyProtection="1">
      <alignment horizontal="right" vertical="top" wrapText="1"/>
      <protection hidden="1"/>
    </xf>
    <xf numFmtId="0" fontId="16" fillId="0" borderId="33" xfId="2" applyFont="1" applyBorder="1" applyAlignment="1" applyProtection="1">
      <alignment horizontal="right" vertical="top" wrapText="1"/>
      <protection hidden="1"/>
    </xf>
    <xf numFmtId="0" fontId="22" fillId="0" borderId="35" xfId="2" applyFont="1" applyBorder="1" applyAlignment="1" applyProtection="1">
      <alignment horizontal="left" vertical="center" wrapText="1"/>
      <protection hidden="1"/>
    </xf>
    <xf numFmtId="0" fontId="22" fillId="0" borderId="0" xfId="2" applyFont="1" applyAlignment="1" applyProtection="1">
      <alignment horizontal="left" vertical="center" wrapText="1"/>
      <protection hidden="1"/>
    </xf>
    <xf numFmtId="0" fontId="22" fillId="0" borderId="36" xfId="2" applyFont="1" applyBorder="1" applyAlignment="1" applyProtection="1">
      <alignment horizontal="left" vertical="center" wrapText="1"/>
      <protection hidden="1"/>
    </xf>
    <xf numFmtId="0" fontId="22" fillId="0" borderId="37" xfId="2" applyFont="1" applyBorder="1" applyAlignment="1" applyProtection="1">
      <alignment horizontal="left" vertical="center" wrapText="1"/>
      <protection hidden="1"/>
    </xf>
    <xf numFmtId="0" fontId="22" fillId="0" borderId="38" xfId="2" applyFont="1" applyBorder="1" applyAlignment="1" applyProtection="1">
      <alignment horizontal="left" vertical="center" wrapText="1"/>
      <protection hidden="1"/>
    </xf>
    <xf numFmtId="0" fontId="22" fillId="0" borderId="39" xfId="2" applyFont="1" applyBorder="1" applyAlignment="1" applyProtection="1">
      <alignment horizontal="left" vertical="center" wrapText="1"/>
      <protection hidden="1"/>
    </xf>
    <xf numFmtId="0" fontId="21" fillId="0" borderId="29" xfId="2" applyFont="1" applyBorder="1" applyAlignment="1" applyProtection="1">
      <alignment horizontal="left" vertical="center" wrapText="1"/>
      <protection hidden="1"/>
    </xf>
    <xf numFmtId="0" fontId="21" fillId="0" borderId="30" xfId="2" applyFont="1" applyBorder="1" applyAlignment="1" applyProtection="1">
      <alignment horizontal="left" vertical="center" wrapText="1"/>
      <protection hidden="1"/>
    </xf>
    <xf numFmtId="0" fontId="21" fillId="0" borderId="28" xfId="2" applyFont="1" applyBorder="1" applyAlignment="1" applyProtection="1">
      <alignment horizontal="center" vertical="center" wrapText="1"/>
      <protection hidden="1"/>
    </xf>
    <xf numFmtId="0" fontId="21" fillId="0" borderId="30" xfId="2" applyFont="1" applyBorder="1" applyAlignment="1" applyProtection="1">
      <alignment horizontal="center" vertical="center" wrapText="1"/>
      <protection hidden="1"/>
    </xf>
    <xf numFmtId="0" fontId="32" fillId="0" borderId="28" xfId="2" applyFont="1" applyBorder="1" applyAlignment="1" applyProtection="1">
      <alignment horizontal="left" vertical="center" shrinkToFit="1"/>
      <protection hidden="1"/>
    </xf>
    <xf numFmtId="0" fontId="32" fillId="0" borderId="29" xfId="2" applyFont="1" applyBorder="1" applyAlignment="1" applyProtection="1">
      <alignment horizontal="left" vertical="center" shrinkToFit="1"/>
      <protection hidden="1"/>
    </xf>
    <xf numFmtId="0" fontId="32" fillId="0" borderId="30" xfId="2" applyFont="1" applyBorder="1" applyAlignment="1" applyProtection="1">
      <alignment horizontal="left" vertical="center" shrinkToFit="1"/>
      <protection hidden="1"/>
    </xf>
    <xf numFmtId="0" fontId="16" fillId="0" borderId="28" xfId="2" applyFont="1" applyBorder="1" applyAlignment="1" applyProtection="1">
      <alignment horizontal="left" vertical="center" wrapText="1" indent="23"/>
      <protection hidden="1"/>
    </xf>
    <xf numFmtId="0" fontId="16" fillId="0" borderId="29" xfId="2" applyFont="1" applyBorder="1" applyAlignment="1" applyProtection="1">
      <alignment horizontal="left" vertical="center" wrapText="1" indent="23"/>
      <protection hidden="1"/>
    </xf>
    <xf numFmtId="0" fontId="16" fillId="0" borderId="30" xfId="2" applyFont="1" applyBorder="1" applyAlignment="1" applyProtection="1">
      <alignment horizontal="left" vertical="center" wrapText="1" indent="23"/>
      <protection hidden="1"/>
    </xf>
    <xf numFmtId="0" fontId="16" fillId="0" borderId="28" xfId="2" applyFont="1" applyBorder="1" applyAlignment="1" applyProtection="1">
      <alignment horizontal="center" vertical="top" wrapText="1"/>
      <protection hidden="1"/>
    </xf>
    <xf numFmtId="0" fontId="16" fillId="0" borderId="30" xfId="2" applyFont="1" applyBorder="1" applyAlignment="1" applyProtection="1">
      <alignment horizontal="center" vertical="top" wrapText="1"/>
      <protection hidden="1"/>
    </xf>
    <xf numFmtId="0" fontId="16" fillId="0" borderId="28" xfId="2" applyFont="1" applyBorder="1" applyAlignment="1" applyProtection="1">
      <alignment horizontal="left" vertical="top" wrapText="1"/>
      <protection hidden="1"/>
    </xf>
    <xf numFmtId="0" fontId="16" fillId="0" borderId="29" xfId="2" applyFont="1" applyBorder="1" applyAlignment="1" applyProtection="1">
      <alignment horizontal="left" vertical="top" wrapText="1"/>
      <protection hidden="1"/>
    </xf>
    <xf numFmtId="0" fontId="16" fillId="0" borderId="30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center" wrapText="1"/>
      <protection locked="0" hidden="1"/>
    </xf>
    <xf numFmtId="0" fontId="20" fillId="0" borderId="0" xfId="2" applyFont="1" applyAlignment="1" applyProtection="1">
      <alignment horizontal="left"/>
      <protection locked="0"/>
    </xf>
    <xf numFmtId="0" fontId="21" fillId="0" borderId="32" xfId="2" applyFont="1" applyBorder="1" applyAlignment="1" applyProtection="1">
      <alignment horizontal="center" vertical="center" wrapText="1"/>
      <protection hidden="1"/>
    </xf>
    <xf numFmtId="0" fontId="21" fillId="0" borderId="32" xfId="2" applyFont="1" applyBorder="1" applyAlignment="1" applyProtection="1">
      <alignment horizontal="left" vertical="center" wrapText="1"/>
      <protection hidden="1"/>
    </xf>
    <xf numFmtId="0" fontId="31" fillId="0" borderId="32" xfId="2" applyFont="1" applyBorder="1" applyAlignment="1" applyProtection="1">
      <alignment horizontal="right" vertical="center" wrapText="1"/>
      <protection hidden="1"/>
    </xf>
    <xf numFmtId="0" fontId="31" fillId="0" borderId="33" xfId="2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9" borderId="0" xfId="0" applyFill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229">
    <dxf>
      <fill>
        <patternFill>
          <bgColor rgb="FFFF0000"/>
        </patternFill>
      </fill>
    </dxf>
    <dxf>
      <fill>
        <patternFill>
          <bgColor rgb="FFFFA3A3"/>
        </patternFill>
      </fill>
    </dxf>
    <dxf>
      <fill>
        <patternFill>
          <bgColor rgb="FFFF8383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65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8" tint="0.39994506668294322"/>
        </patternFill>
      </fill>
    </dxf>
    <dxf>
      <fill>
        <patternFill>
          <bgColor rgb="FFFF8383"/>
        </patternFill>
      </fill>
    </dxf>
    <dxf>
      <fill>
        <patternFill>
          <bgColor rgb="FFFFFF65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65"/>
        </patternFill>
      </fill>
    </dxf>
    <dxf>
      <fill>
        <patternFill>
          <bgColor theme="9" tint="0.39994506668294322"/>
        </patternFill>
      </fill>
    </dxf>
    <dxf>
      <fill>
        <patternFill>
          <bgColor rgb="FFFF8383"/>
        </patternFill>
      </fill>
    </dxf>
    <dxf>
      <fill>
        <patternFill>
          <bgColor theme="8" tint="0.39994506668294322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65"/>
        </patternFill>
      </fill>
    </dxf>
    <dxf>
      <fill>
        <patternFill>
          <bgColor theme="9" tint="0.39994506668294322"/>
        </patternFill>
      </fill>
    </dxf>
    <dxf>
      <fill>
        <patternFill>
          <bgColor rgb="FFFF8383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vertical/>
        <horizontal/>
      </border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theme="1"/>
      </font>
    </dxf>
    <dxf>
      <font>
        <color theme="1"/>
      </font>
    </dxf>
    <dxf>
      <font>
        <color theme="0"/>
      </font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border>
        <bottom style="thin">
          <color auto="1"/>
        </bottom>
        <vertical/>
        <horizontal/>
      </border>
    </dxf>
    <dxf>
      <font>
        <color theme="0"/>
      </font>
    </dxf>
    <dxf>
      <fill>
        <patternFill>
          <bgColor rgb="FFFFB9B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B9B9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FF8383"/>
        </patternFill>
      </fill>
    </dxf>
    <dxf>
      <fill>
        <patternFill>
          <bgColor rgb="FFFFFF65"/>
        </patternFill>
      </fill>
    </dxf>
    <dxf>
      <fill>
        <patternFill>
          <bgColor theme="0" tint="-4.9989318521683403E-2"/>
        </patternFill>
      </fill>
    </dxf>
    <dxf>
      <fill>
        <patternFill>
          <bgColor theme="8" tint="0.39994506668294322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7" tint="0.59996337778862885"/>
        </patternFill>
      </fill>
    </dxf>
    <dxf>
      <fill>
        <patternFill>
          <bgColor rgb="FFFFA3A3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rgb="FFFFA3A3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6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8383"/>
        </patternFill>
      </fill>
    </dxf>
  </dxfs>
  <tableStyles count="0" defaultTableStyle="TableStyleMedium2" defaultPivotStyle="PivotStyleLight16"/>
  <colors>
    <mruColors>
      <color rgb="FFFFA3A3"/>
      <color rgb="FFFFB9B9"/>
      <color rgb="FFBF95DF"/>
      <color rgb="FFFF9393"/>
      <color rgb="FFFF8181"/>
      <color rgb="FFFF6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16</xdr:col>
      <xdr:colOff>3</xdr:colOff>
      <xdr:row>27</xdr:row>
      <xdr:rowOff>40564</xdr:rowOff>
    </xdr:to>
    <xdr:pic>
      <xdr:nvPicPr>
        <xdr:cNvPr id="2" name="Grafik 1" descr="Ein Bild, das Wasser, Schwimmbecken, Türkis, Flüssigkeit enthält.&#10;&#10;Automatisch generierte Beschreibung">
          <a:extLst>
            <a:ext uri="{FF2B5EF4-FFF2-40B4-BE49-F238E27FC236}">
              <a16:creationId xmlns:a16="http://schemas.microsoft.com/office/drawing/2014/main" xmlns="" id="{F6C809B1-5399-7D44-A157-526F1D2DA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 am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76" r="38827"/>
        <a:stretch/>
      </xdr:blipFill>
      <xdr:spPr>
        <a:xfrm rot="5400000">
          <a:off x="2989620" y="-2989619"/>
          <a:ext cx="5247563" cy="1122680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</xdr:row>
      <xdr:rowOff>63500</xdr:rowOff>
    </xdr:from>
    <xdr:to>
      <xdr:col>6</xdr:col>
      <xdr:colOff>194094</xdr:colOff>
      <xdr:row>22</xdr:row>
      <xdr:rowOff>171672</xdr:rowOff>
    </xdr:to>
    <xdr:pic>
      <xdr:nvPicPr>
        <xdr:cNvPr id="3" name="Grafik 2" descr="Ein Bild, das Cartoon, Clipart, Kunst enthält.&#10;&#10;Automatisch generierte Beschreibung">
          <a:extLst>
            <a:ext uri="{FF2B5EF4-FFF2-40B4-BE49-F238E27FC236}">
              <a16:creationId xmlns:a16="http://schemas.microsoft.com/office/drawing/2014/main" xmlns="" id="{6FFAAD64-9E67-314D-8E8A-9F5D7D7A5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" y="609600"/>
          <a:ext cx="2848394" cy="3740372"/>
        </a:xfrm>
        <a:prstGeom prst="rect">
          <a:avLst/>
        </a:prstGeom>
      </xdr:spPr>
    </xdr:pic>
    <xdr:clientData/>
  </xdr:twoCellAnchor>
  <xdr:twoCellAnchor>
    <xdr:from>
      <xdr:col>6</xdr:col>
      <xdr:colOff>584200</xdr:colOff>
      <xdr:row>2</xdr:row>
      <xdr:rowOff>177800</xdr:rowOff>
    </xdr:from>
    <xdr:to>
      <xdr:col>13</xdr:col>
      <xdr:colOff>9770</xdr:colOff>
      <xdr:row>6</xdr:row>
      <xdr:rowOff>292100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xmlns="" id="{55640E45-93A2-D849-B690-AF0A53165D8A}"/>
            </a:ext>
          </a:extLst>
        </xdr:cNvPr>
        <xdr:cNvSpPr txBox="1"/>
      </xdr:nvSpPr>
      <xdr:spPr>
        <a:xfrm>
          <a:off x="4241800" y="533400"/>
          <a:ext cx="4975470" cy="838200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600" b="1">
              <a:latin typeface="Arial" panose="020B0604020202020204" pitchFamily="34" charset="0"/>
              <a:cs typeface="Arial" panose="020B0604020202020204" pitchFamily="34" charset="0"/>
            </a:rPr>
            <a:t>31st SL SYNCHRO CUP 2024</a:t>
          </a:r>
        </a:p>
        <a:p>
          <a:pPr algn="ctr"/>
          <a:r>
            <a:rPr lang="de-DE" sz="1800" b="1">
              <a:latin typeface="Arial" panose="020B0604020202020204" pitchFamily="34" charset="0"/>
              <a:cs typeface="Arial" panose="020B0604020202020204" pitchFamily="34" charset="0"/>
            </a:rPr>
            <a:t>APPENDIX IV COACH CARD</a:t>
          </a:r>
        </a:p>
      </xdr:txBody>
    </xdr:sp>
    <xdr:clientData/>
  </xdr:twoCellAnchor>
  <xdr:twoCellAnchor>
    <xdr:from>
      <xdr:col>7</xdr:col>
      <xdr:colOff>0</xdr:colOff>
      <xdr:row>9</xdr:row>
      <xdr:rowOff>0</xdr:rowOff>
    </xdr:from>
    <xdr:to>
      <xdr:col>13</xdr:col>
      <xdr:colOff>12700</xdr:colOff>
      <xdr:row>24</xdr:row>
      <xdr:rowOff>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xmlns="" id="{00CD13C6-0353-044A-8167-7870638971A9}"/>
            </a:ext>
          </a:extLst>
        </xdr:cNvPr>
        <xdr:cNvSpPr txBox="1"/>
      </xdr:nvSpPr>
      <xdr:spPr>
        <a:xfrm>
          <a:off x="4254500" y="1739900"/>
          <a:ext cx="4965700" cy="2667000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1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IMPORTANT: Coach Cards must be submitted to Carmen Tholl-Biewer (tholl@swimming.lu) by the 1st of May 2024 at the very latest.</a:t>
          </a:r>
        </a:p>
        <a:p>
          <a:pPr algn="ctr"/>
          <a:r>
            <a:rPr lang="de-DE" sz="11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Please note that after this date no changes can be made! </a:t>
          </a:r>
        </a:p>
        <a:p>
          <a:pPr algn="ctr"/>
          <a:endParaRPr lang="de-DE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de-DE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de-DE" sz="1100">
              <a:latin typeface="Arial" panose="020B0604020202020204" pitchFamily="34" charset="0"/>
              <a:cs typeface="Arial" panose="020B0604020202020204" pitchFamily="34" charset="0"/>
            </a:rPr>
            <a:t>Please fill out the following sheet with your coach card data for each Juniors routine. Please find here below the instructions to fill out the Coach Card.</a:t>
          </a:r>
        </a:p>
        <a:p>
          <a:pPr algn="ctr"/>
          <a:endParaRPr lang="de-DE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de-DE" sz="1100">
              <a:latin typeface="Arial" panose="020B0604020202020204" pitchFamily="34" charset="0"/>
              <a:cs typeface="Arial" panose="020B0604020202020204" pitchFamily="34" charset="0"/>
            </a:rPr>
            <a:t>After filling it in, please send the full excel document (for each routine, a seperate document must be created) back to Carmen Tholl-Biewer.</a:t>
          </a:r>
        </a:p>
        <a:p>
          <a:pPr algn="ctr"/>
          <a:endParaRPr lang="de-DE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de-DE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de-DE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de-DE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de-DE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de-DE" sz="1100" i="1">
              <a:latin typeface="Arial" panose="020B0604020202020204" pitchFamily="34" charset="0"/>
              <a:cs typeface="Arial" panose="020B0604020202020204" pitchFamily="34" charset="0"/>
            </a:rPr>
            <a:t>If there are any questions, don't hesitate to contact us.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244475</xdr:colOff>
      <xdr:row>0</xdr:row>
      <xdr:rowOff>158750</xdr:rowOff>
    </xdr:from>
    <xdr:to>
      <xdr:col>34</xdr:col>
      <xdr:colOff>2140486</xdr:colOff>
      <xdr:row>4</xdr:row>
      <xdr:rowOff>1142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E98B096D-5D23-4309-9509-98F7285AC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0" y="158750"/>
          <a:ext cx="1896011" cy="499617"/>
        </a:xfrm>
        <a:prstGeom prst="rect">
          <a:avLst/>
        </a:prstGeom>
      </xdr:spPr>
    </xdr:pic>
    <xdr:clientData/>
  </xdr:twoCellAnchor>
  <xdr:twoCellAnchor editAs="oneCell">
    <xdr:from>
      <xdr:col>34</xdr:col>
      <xdr:colOff>209550</xdr:colOff>
      <xdr:row>4</xdr:row>
      <xdr:rowOff>47625</xdr:rowOff>
    </xdr:from>
    <xdr:to>
      <xdr:col>34</xdr:col>
      <xdr:colOff>1151899</xdr:colOff>
      <xdr:row>8</xdr:row>
      <xdr:rowOff>28575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xmlns="" id="{AD618AF1-A077-71D7-6723-80B908BDF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825" y="704850"/>
          <a:ext cx="942349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5</xdr:col>
      <xdr:colOff>605913</xdr:colOff>
      <xdr:row>3</xdr:row>
      <xdr:rowOff>123825</xdr:rowOff>
    </xdr:to>
    <xdr:pic>
      <xdr:nvPicPr>
        <xdr:cNvPr id="4" name="Bildobjekt 3" descr="Swimming Luxembourg">
          <a:extLst>
            <a:ext uri="{FF2B5EF4-FFF2-40B4-BE49-F238E27FC236}">
              <a16:creationId xmlns:a16="http://schemas.microsoft.com/office/drawing/2014/main" xmlns="" id="{6C56C04A-DCB6-CBA8-4353-25CFF65C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3966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102577</xdr:rowOff>
    </xdr:from>
    <xdr:to>
      <xdr:col>19</xdr:col>
      <xdr:colOff>230358</xdr:colOff>
      <xdr:row>1</xdr:row>
      <xdr:rowOff>460296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64BA0393-23CD-4860-B815-C01A55EA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6885" y="102577"/>
          <a:ext cx="1959511" cy="509142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2</xdr:row>
      <xdr:rowOff>38100</xdr:rowOff>
    </xdr:from>
    <xdr:to>
      <xdr:col>17</xdr:col>
      <xdr:colOff>580869</xdr:colOff>
      <xdr:row>5</xdr:row>
      <xdr:rowOff>47625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xmlns="" id="{0850ECE3-7894-2404-0FE8-7C319BEE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00" y="695325"/>
          <a:ext cx="961869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4</xdr:col>
      <xdr:colOff>396363</xdr:colOff>
      <xdr:row>1</xdr:row>
      <xdr:rowOff>485775</xdr:rowOff>
    </xdr:to>
    <xdr:pic>
      <xdr:nvPicPr>
        <xdr:cNvPr id="3" name="Bildobjekt 2" descr="Swimming Luxembourg">
          <a:extLst>
            <a:ext uri="{FF2B5EF4-FFF2-40B4-BE49-F238E27FC236}">
              <a16:creationId xmlns:a16="http://schemas.microsoft.com/office/drawing/2014/main" xmlns="" id="{42CE1BB7-BAAE-4C1E-8DBD-ECBB11A4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23966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3:M67"/>
  <sheetViews>
    <sheetView workbookViewId="0">
      <selection activeCell="T18" sqref="T18"/>
    </sheetView>
  </sheetViews>
  <sheetFormatPr defaultColWidth="8.85546875" defaultRowHeight="14.25" x14ac:dyDescent="0.2"/>
  <cols>
    <col min="1" max="1" width="3.85546875" style="99" customWidth="1"/>
    <col min="2" max="6" width="8.85546875" style="99"/>
    <col min="7" max="7" width="7.85546875" style="99" customWidth="1"/>
    <col min="8" max="13" width="10.85546875" style="99" customWidth="1"/>
    <col min="14" max="16384" width="8.85546875" style="99"/>
  </cols>
  <sheetData>
    <row r="3" spans="8:13" ht="15" thickBot="1" x14ac:dyDescent="0.2"/>
    <row r="4" spans="8:13" x14ac:dyDescent="0.2">
      <c r="H4" s="185" t="s">
        <v>1542</v>
      </c>
      <c r="I4" s="186"/>
      <c r="J4" s="186"/>
      <c r="K4" s="186"/>
      <c r="L4" s="186"/>
      <c r="M4" s="187"/>
    </row>
    <row r="5" spans="8:13" x14ac:dyDescent="0.2">
      <c r="H5" s="188"/>
      <c r="I5" s="189"/>
      <c r="J5" s="189"/>
      <c r="K5" s="189"/>
      <c r="L5" s="189"/>
      <c r="M5" s="190"/>
    </row>
    <row r="6" spans="8:13" x14ac:dyDescent="0.2">
      <c r="H6" s="188"/>
      <c r="I6" s="189"/>
      <c r="J6" s="189"/>
      <c r="K6" s="189"/>
      <c r="L6" s="189"/>
      <c r="M6" s="190"/>
    </row>
    <row r="7" spans="8:13" ht="24" thickBot="1" x14ac:dyDescent="0.3">
      <c r="H7" s="191" t="s">
        <v>1545</v>
      </c>
      <c r="I7" s="192"/>
      <c r="J7" s="192"/>
      <c r="K7" s="192"/>
      <c r="L7" s="192"/>
      <c r="M7" s="193"/>
    </row>
    <row r="10" spans="8:13" x14ac:dyDescent="0.2">
      <c r="H10" s="194" t="s">
        <v>1546</v>
      </c>
      <c r="I10" s="195"/>
      <c r="J10" s="195"/>
      <c r="K10" s="195"/>
      <c r="L10" s="195"/>
      <c r="M10" s="196"/>
    </row>
    <row r="11" spans="8:13" x14ac:dyDescent="0.2">
      <c r="H11" s="197"/>
      <c r="I11" s="198"/>
      <c r="J11" s="198"/>
      <c r="K11" s="198"/>
      <c r="L11" s="198"/>
      <c r="M11" s="199"/>
    </row>
    <row r="12" spans="8:13" ht="14.1" x14ac:dyDescent="0.15">
      <c r="H12" s="178"/>
      <c r="M12" s="179"/>
    </row>
    <row r="13" spans="8:13" ht="14.1" x14ac:dyDescent="0.15">
      <c r="H13" s="178"/>
      <c r="M13" s="179"/>
    </row>
    <row r="14" spans="8:13" x14ac:dyDescent="0.2">
      <c r="H14" s="200" t="s">
        <v>1547</v>
      </c>
      <c r="I14" s="201"/>
      <c r="J14" s="201"/>
      <c r="K14" s="201"/>
      <c r="L14" s="201"/>
      <c r="M14" s="202"/>
    </row>
    <row r="15" spans="8:13" x14ac:dyDescent="0.2">
      <c r="H15" s="200"/>
      <c r="I15" s="201"/>
      <c r="J15" s="201"/>
      <c r="K15" s="201"/>
      <c r="L15" s="201"/>
      <c r="M15" s="202"/>
    </row>
    <row r="16" spans="8:13" ht="14.1" x14ac:dyDescent="0.15">
      <c r="H16" s="178"/>
      <c r="M16" s="179"/>
    </row>
    <row r="17" spans="1:13" x14ac:dyDescent="0.2">
      <c r="H17" s="200" t="s">
        <v>1548</v>
      </c>
      <c r="I17" s="201"/>
      <c r="J17" s="201"/>
      <c r="K17" s="201"/>
      <c r="L17" s="201"/>
      <c r="M17" s="202"/>
    </row>
    <row r="18" spans="1:13" x14ac:dyDescent="0.2">
      <c r="H18" s="200"/>
      <c r="I18" s="201"/>
      <c r="J18" s="201"/>
      <c r="K18" s="201"/>
      <c r="L18" s="201"/>
      <c r="M18" s="202"/>
    </row>
    <row r="19" spans="1:13" ht="14.1" x14ac:dyDescent="0.15">
      <c r="H19" s="178"/>
      <c r="M19" s="179"/>
    </row>
    <row r="20" spans="1:13" ht="14.1" x14ac:dyDescent="0.15">
      <c r="H20" s="178"/>
      <c r="M20" s="179"/>
    </row>
    <row r="21" spans="1:13" ht="14.1" x14ac:dyDescent="0.15">
      <c r="H21" s="178"/>
      <c r="M21" s="179"/>
    </row>
    <row r="22" spans="1:13" ht="14.1" x14ac:dyDescent="0.15">
      <c r="H22" s="178"/>
      <c r="M22" s="179"/>
    </row>
    <row r="23" spans="1:13" ht="14.1" x14ac:dyDescent="0.15">
      <c r="H23" s="178"/>
      <c r="M23" s="179"/>
    </row>
    <row r="24" spans="1:13" ht="14.1" x14ac:dyDescent="0.15">
      <c r="H24" s="182" t="s">
        <v>1549</v>
      </c>
      <c r="I24" s="183"/>
      <c r="J24" s="183"/>
      <c r="K24" s="183"/>
      <c r="L24" s="183"/>
      <c r="M24" s="184"/>
    </row>
    <row r="31" spans="1:13" ht="20.100000000000001" x14ac:dyDescent="0.2">
      <c r="A31" s="180" t="s">
        <v>1487</v>
      </c>
    </row>
    <row r="33" spans="1:2" ht="14.1" x14ac:dyDescent="0.15">
      <c r="A33" s="99" t="s">
        <v>1486</v>
      </c>
    </row>
    <row r="34" spans="1:2" ht="8.1" customHeight="1" x14ac:dyDescent="0.15"/>
    <row r="35" spans="1:2" ht="14.1" x14ac:dyDescent="0.15">
      <c r="A35" s="99" t="s">
        <v>1478</v>
      </c>
    </row>
    <row r="36" spans="1:2" ht="14.1" x14ac:dyDescent="0.15">
      <c r="B36" s="99" t="s">
        <v>1479</v>
      </c>
    </row>
    <row r="37" spans="1:2" ht="14.1" x14ac:dyDescent="0.15">
      <c r="B37" s="99" t="s">
        <v>1480</v>
      </c>
    </row>
    <row r="38" spans="1:2" ht="8.1" customHeight="1" x14ac:dyDescent="0.2"/>
    <row r="39" spans="1:2" x14ac:dyDescent="0.2">
      <c r="A39" s="99" t="s">
        <v>1550</v>
      </c>
    </row>
    <row r="40" spans="1:2" ht="8.1" customHeight="1" x14ac:dyDescent="0.2"/>
    <row r="41" spans="1:2" x14ac:dyDescent="0.2">
      <c r="A41" s="99" t="s">
        <v>1551</v>
      </c>
    </row>
    <row r="42" spans="1:2" ht="8.1" customHeight="1" x14ac:dyDescent="0.2"/>
    <row r="43" spans="1:2" x14ac:dyDescent="0.2">
      <c r="A43" s="99" t="s">
        <v>1481</v>
      </c>
    </row>
    <row r="45" spans="1:2" x14ac:dyDescent="0.2">
      <c r="A45" s="99" t="s">
        <v>1552</v>
      </c>
    </row>
    <row r="46" spans="1:2" x14ac:dyDescent="0.2">
      <c r="A46" s="99" t="s">
        <v>1553</v>
      </c>
    </row>
    <row r="47" spans="1:2" x14ac:dyDescent="0.2">
      <c r="A47" s="99" t="s">
        <v>1554</v>
      </c>
    </row>
    <row r="48" spans="1:2" x14ac:dyDescent="0.2">
      <c r="B48" s="99" t="s">
        <v>1555</v>
      </c>
    </row>
    <row r="50" spans="1:2" x14ac:dyDescent="0.2">
      <c r="A50" s="99" t="s">
        <v>1556</v>
      </c>
    </row>
    <row r="51" spans="1:2" x14ac:dyDescent="0.2">
      <c r="A51" s="99" t="s">
        <v>1557</v>
      </c>
    </row>
    <row r="52" spans="1:2" x14ac:dyDescent="0.2">
      <c r="B52" s="99" t="s">
        <v>1483</v>
      </c>
    </row>
    <row r="53" spans="1:2" x14ac:dyDescent="0.2">
      <c r="A53" s="99" t="s">
        <v>1482</v>
      </c>
    </row>
    <row r="54" spans="1:2" x14ac:dyDescent="0.2">
      <c r="B54" s="99" t="s">
        <v>1483</v>
      </c>
    </row>
    <row r="55" spans="1:2" x14ac:dyDescent="0.2">
      <c r="B55" s="99" t="s">
        <v>1489</v>
      </c>
    </row>
    <row r="56" spans="1:2" x14ac:dyDescent="0.2">
      <c r="B56" s="99" t="s">
        <v>1495</v>
      </c>
    </row>
    <row r="57" spans="1:2" x14ac:dyDescent="0.2">
      <c r="A57" s="99" t="s">
        <v>1558</v>
      </c>
    </row>
    <row r="58" spans="1:2" x14ac:dyDescent="0.2">
      <c r="B58" s="99" t="s">
        <v>1483</v>
      </c>
    </row>
    <row r="59" spans="1:2" x14ac:dyDescent="0.2">
      <c r="A59" s="99" t="s">
        <v>1559</v>
      </c>
    </row>
    <row r="60" spans="1:2" x14ac:dyDescent="0.2">
      <c r="A60" s="99" t="s">
        <v>1484</v>
      </c>
    </row>
    <row r="62" spans="1:2" x14ac:dyDescent="0.2">
      <c r="A62" s="99" t="s">
        <v>1485</v>
      </c>
    </row>
    <row r="64" spans="1:2" x14ac:dyDescent="0.2">
      <c r="A64" s="181" t="s">
        <v>1560</v>
      </c>
      <c r="B64" s="181"/>
    </row>
    <row r="65" spans="1:2" x14ac:dyDescent="0.2">
      <c r="A65" s="181"/>
      <c r="B65" s="181" t="s">
        <v>1561</v>
      </c>
    </row>
    <row r="66" spans="1:2" x14ac:dyDescent="0.2">
      <c r="A66" s="181"/>
      <c r="B66" s="181" t="s">
        <v>1562</v>
      </c>
    </row>
    <row r="67" spans="1:2" x14ac:dyDescent="0.2">
      <c r="A67" s="181"/>
      <c r="B67" s="181" t="s">
        <v>1563</v>
      </c>
    </row>
  </sheetData>
  <sheetProtection password="C6A4" sheet="1" objects="1" scenarios="1" selectLockedCells="1" selectUnlockedCells="1"/>
  <mergeCells count="6">
    <mergeCell ref="H24:M24"/>
    <mergeCell ref="H4:M6"/>
    <mergeCell ref="H7:M7"/>
    <mergeCell ref="H10:M11"/>
    <mergeCell ref="H14:M15"/>
    <mergeCell ref="H17:M18"/>
  </mergeCells>
  <pageMargins left="0.7" right="0.7" top="0.75" bottom="0.75" header="0.3" footer="0.3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fitToPage="1"/>
  </sheetPr>
  <dimension ref="A1:CE81"/>
  <sheetViews>
    <sheetView tabSelected="1" zoomScaleNormal="100" workbookViewId="0">
      <selection activeCell="F8" sqref="F8"/>
    </sheetView>
  </sheetViews>
  <sheetFormatPr defaultColWidth="8.85546875" defaultRowHeight="12.75" x14ac:dyDescent="0.25"/>
  <cols>
    <col min="1" max="4" width="5.7109375" style="16" customWidth="1"/>
    <col min="5" max="5" width="4.7109375" style="16" customWidth="1"/>
    <col min="6" max="6" width="26" style="12" customWidth="1"/>
    <col min="7" max="8" width="7.7109375" style="16" customWidth="1"/>
    <col min="9" max="9" width="7.7109375" style="12" customWidth="1"/>
    <col min="10" max="32" width="6.85546875" style="12" customWidth="1"/>
    <col min="33" max="34" width="7.85546875" style="12" customWidth="1"/>
    <col min="35" max="35" width="34.7109375" style="12" customWidth="1"/>
    <col min="36" max="36" width="10.42578125" style="135" customWidth="1"/>
    <col min="37" max="43" width="8.85546875" style="135" customWidth="1"/>
    <col min="44" max="47" width="8.85546875" style="135" hidden="1" customWidth="1"/>
    <col min="48" max="48" width="12.28515625" style="135" hidden="1" customWidth="1"/>
    <col min="49" max="53" width="8.85546875" style="135" hidden="1" customWidth="1"/>
    <col min="54" max="71" width="8.85546875" style="132" hidden="1" customWidth="1"/>
    <col min="72" max="83" width="8.85546875" style="135" hidden="1" customWidth="1"/>
    <col min="84" max="85" width="8.85546875" style="12" customWidth="1"/>
    <col min="86" max="16384" width="8.85546875" style="12"/>
  </cols>
  <sheetData>
    <row r="1" spans="1:46" x14ac:dyDescent="0.25">
      <c r="A1" s="10"/>
      <c r="B1" s="10"/>
      <c r="C1" s="10"/>
      <c r="D1" s="10"/>
      <c r="E1" s="10"/>
      <c r="F1" s="11"/>
      <c r="G1" s="203" t="s">
        <v>0</v>
      </c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11"/>
      <c r="AD1" s="11"/>
      <c r="AE1" s="11"/>
      <c r="AF1" s="11"/>
      <c r="AG1" s="11"/>
      <c r="AH1" s="97"/>
      <c r="AI1" s="174"/>
      <c r="AJ1" s="134"/>
      <c r="AK1" s="134"/>
      <c r="AL1" s="134"/>
      <c r="AM1" s="134"/>
      <c r="AN1" s="134"/>
      <c r="AO1" s="134"/>
      <c r="AP1" s="134"/>
      <c r="AQ1" s="173"/>
    </row>
    <row r="2" spans="1:46" x14ac:dyDescent="0.25">
      <c r="A2" s="10"/>
      <c r="B2" s="10"/>
      <c r="C2" s="10"/>
      <c r="D2" s="10"/>
      <c r="E2" s="10"/>
      <c r="F2" s="11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11"/>
      <c r="AD2" s="11"/>
      <c r="AE2" s="11"/>
      <c r="AF2" s="11"/>
      <c r="AG2" s="11"/>
      <c r="AH2" s="97"/>
      <c r="AI2" s="174"/>
      <c r="AJ2" s="134"/>
      <c r="AK2" s="134"/>
      <c r="AL2" s="134"/>
      <c r="AM2" s="134"/>
      <c r="AN2" s="134"/>
      <c r="AO2" s="134"/>
      <c r="AP2" s="134"/>
      <c r="AQ2" s="173"/>
    </row>
    <row r="3" spans="1:46" x14ac:dyDescent="0.25">
      <c r="A3" s="10"/>
      <c r="B3" s="10"/>
      <c r="C3" s="10"/>
      <c r="D3" s="10"/>
      <c r="E3" s="10"/>
      <c r="F3" s="11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11"/>
      <c r="AD3" s="11"/>
      <c r="AE3" s="11"/>
      <c r="AF3" s="11"/>
      <c r="AG3" s="11"/>
      <c r="AH3" s="97"/>
      <c r="AI3" s="174"/>
      <c r="AJ3" s="134"/>
      <c r="AK3" s="134"/>
      <c r="AL3" s="134"/>
      <c r="AM3" s="134"/>
      <c r="AN3" s="134"/>
      <c r="AO3" s="134"/>
      <c r="AP3" s="134"/>
      <c r="AQ3" s="173"/>
    </row>
    <row r="4" spans="1:46" ht="13.5" thickBot="1" x14ac:dyDescent="0.3">
      <c r="A4" s="10"/>
      <c r="B4" s="10"/>
      <c r="C4" s="10"/>
      <c r="D4" s="10"/>
      <c r="E4" s="10"/>
      <c r="F4" s="11"/>
      <c r="G4" s="204"/>
      <c r="H4" s="204"/>
      <c r="I4" s="204"/>
      <c r="J4" s="204"/>
      <c r="K4" s="204"/>
      <c r="L4" s="203"/>
      <c r="M4" s="203"/>
      <c r="N4" s="203"/>
      <c r="O4" s="203"/>
      <c r="P4" s="203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11"/>
      <c r="AD4" s="11"/>
      <c r="AE4" s="11"/>
      <c r="AF4" s="11"/>
      <c r="AG4" s="177" t="s">
        <v>1544</v>
      </c>
      <c r="AH4" s="97"/>
      <c r="AI4" s="174"/>
      <c r="AJ4" s="134"/>
      <c r="AK4" s="134"/>
      <c r="AL4" s="134"/>
      <c r="AM4" s="134"/>
      <c r="AN4" s="134"/>
      <c r="AO4" s="134"/>
      <c r="AP4" s="134"/>
      <c r="AQ4" s="173"/>
    </row>
    <row r="5" spans="1:46" ht="15.75" customHeight="1" thickBot="1" x14ac:dyDescent="0.25">
      <c r="A5" s="205" t="s">
        <v>1496</v>
      </c>
      <c r="B5" s="206"/>
      <c r="C5" s="206"/>
      <c r="D5" s="207"/>
      <c r="E5" s="13"/>
      <c r="F5" s="218"/>
      <c r="G5" s="219"/>
      <c r="H5" s="219"/>
      <c r="I5" s="219"/>
      <c r="J5" s="129"/>
      <c r="K5" s="130" t="str">
        <f>IF(A5="Federation:","Country code:","")</f>
        <v/>
      </c>
      <c r="L5" s="131" t="str">
        <f>IFERROR(INDEX(Data!CF1:CF209,MATCH(F5,Data!CE1:CE209,0)),"")</f>
        <v/>
      </c>
      <c r="M5" s="168" t="s">
        <v>829</v>
      </c>
      <c r="N5" s="103"/>
      <c r="O5" s="169" t="s">
        <v>830</v>
      </c>
      <c r="P5" s="102" t="str">
        <f>IF(N5&lt;&gt;"","","X")</f>
        <v>X</v>
      </c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5"/>
      <c r="AH5" s="97"/>
      <c r="AI5" s="174"/>
      <c r="AJ5" s="134"/>
      <c r="AK5" s="134"/>
      <c r="AL5" s="134"/>
      <c r="AM5" s="134"/>
      <c r="AN5" s="134"/>
      <c r="AO5" s="134"/>
      <c r="AP5" s="134"/>
      <c r="AQ5" s="173"/>
    </row>
    <row r="6" spans="1:46" ht="15" customHeight="1" thickBot="1" x14ac:dyDescent="0.25">
      <c r="A6" s="208" t="s">
        <v>1</v>
      </c>
      <c r="B6" s="209"/>
      <c r="C6" s="209"/>
      <c r="D6" s="210"/>
      <c r="E6" s="15"/>
      <c r="F6" s="211" t="s">
        <v>1542</v>
      </c>
      <c r="G6" s="212"/>
      <c r="H6" s="212"/>
      <c r="I6" s="212"/>
      <c r="J6" s="212"/>
      <c r="K6" s="212"/>
      <c r="L6" s="213"/>
      <c r="M6" s="169" t="s">
        <v>828</v>
      </c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7"/>
      <c r="AH6" s="97"/>
      <c r="AI6" s="174"/>
      <c r="AJ6" s="134"/>
      <c r="AK6" s="134"/>
      <c r="AL6" s="134"/>
      <c r="AM6" s="134"/>
      <c r="AN6" s="134"/>
      <c r="AO6" s="134"/>
      <c r="AP6" s="134"/>
      <c r="AQ6" s="170"/>
      <c r="AR6" s="135" t="s">
        <v>232</v>
      </c>
      <c r="AS6" s="135" t="str">
        <f>IF(OR(LEFT(F8,4)="Solo",LEFT(F8,4)="Male"),"",IF(LEFT(F8,4)="Duet","D",IF(LEFT(F8,5)="Mixed","D","T")))</f>
        <v>T</v>
      </c>
    </row>
    <row r="7" spans="1:46" ht="12.95" x14ac:dyDescent="0.2">
      <c r="A7" s="208" t="s">
        <v>4</v>
      </c>
      <c r="B7" s="209"/>
      <c r="C7" s="209"/>
      <c r="D7" s="209"/>
      <c r="E7" s="14"/>
      <c r="F7" s="176" t="s">
        <v>23</v>
      </c>
      <c r="G7" s="88"/>
      <c r="H7" s="89"/>
      <c r="I7" s="89"/>
      <c r="J7" s="89"/>
      <c r="K7" s="90" t="str">
        <f>IF(F7&lt;&gt;"","Acrobatic safety limits on (Y/N)?:","")</f>
        <v>Acrobatic safety limits on (Y/N)?:</v>
      </c>
      <c r="L7" s="94" t="s">
        <v>779</v>
      </c>
      <c r="M7" s="93" t="str">
        <f>IF(OR(LEFT(F7,2)="12",LEFT(F7,2)="Yo"),"X","")</f>
        <v/>
      </c>
      <c r="N7" s="93" t="str">
        <f>IF(OR(LEFT(F7,2)="12",LEFT(F7,2)="Yo"),IF(L7="Y","X",""),IF(AND(M8&lt;&gt;"",L8="Y"),"X",""))</f>
        <v/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40"/>
      <c r="AH7" s="97"/>
      <c r="AI7" s="174"/>
      <c r="AJ7" s="134"/>
      <c r="AK7" s="134"/>
      <c r="AL7" s="134"/>
      <c r="AM7" s="134"/>
      <c r="AN7" s="134"/>
      <c r="AO7" s="134"/>
      <c r="AP7" s="134"/>
      <c r="AQ7" s="170"/>
      <c r="AR7" s="135" t="s">
        <v>33</v>
      </c>
      <c r="AS7" s="132">
        <f>IF(OR(LEFT(F7,1)="1",LEFT(F7,1)="Y"),1,IF(OR(LEFT(F7,1)="J",LEFT(F7,1)="S",LEFT(F7,1)="M"),2,""))</f>
        <v>2</v>
      </c>
    </row>
    <row r="8" spans="1:46" ht="14.1" x14ac:dyDescent="0.2">
      <c r="A8" s="208" t="s">
        <v>2</v>
      </c>
      <c r="B8" s="209"/>
      <c r="C8" s="209"/>
      <c r="D8" s="210"/>
      <c r="E8" s="15"/>
      <c r="F8" s="53"/>
      <c r="G8" s="91" t="str">
        <f>IF(AND(F8="",F7&lt;&gt;""),"&lt;--  Choose event","")</f>
        <v>&lt;--  Choose event</v>
      </c>
      <c r="H8" s="17"/>
      <c r="I8" s="17"/>
      <c r="J8" s="17"/>
      <c r="K8" s="92" t="str">
        <f>IF(F8&lt;&gt;"","Acrobatic safety limits on (Y/N)?:","")</f>
        <v/>
      </c>
      <c r="L8" s="95" t="s">
        <v>778</v>
      </c>
      <c r="M8" s="93" t="str">
        <f>IF(F8&lt;&gt;"",IF(OR(LEFT(F7,2)="12",LEFT(F7,2)="Yo"),"",IF(F7="","",IF(I12&gt;0,"X",""))),"")</f>
        <v/>
      </c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40"/>
      <c r="AH8" s="97"/>
      <c r="AI8" s="174"/>
      <c r="AJ8" s="134"/>
      <c r="AK8" s="134"/>
      <c r="AL8" s="134"/>
      <c r="AM8" s="134"/>
      <c r="AN8" s="134"/>
      <c r="AO8" s="134"/>
      <c r="AP8" s="134"/>
      <c r="AQ8" s="170"/>
      <c r="AR8" s="135" t="s">
        <v>32</v>
      </c>
      <c r="AS8" s="132" t="str">
        <f>IF(RIGHT(F8,9)="Technical","T",IF(LEFT(F8,1)="F","F",IF(LEFT(F8,1)="A","A","")))</f>
        <v/>
      </c>
    </row>
    <row r="9" spans="1:46" ht="15" thickBot="1" x14ac:dyDescent="0.25">
      <c r="A9" s="224" t="s">
        <v>6</v>
      </c>
      <c r="B9" s="225"/>
      <c r="C9" s="225"/>
      <c r="D9" s="226"/>
      <c r="E9" s="18"/>
      <c r="F9" s="227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7"/>
      <c r="AH9" s="97"/>
      <c r="AI9" s="174"/>
      <c r="AJ9" s="134"/>
      <c r="AK9" s="134"/>
      <c r="AL9" s="134"/>
      <c r="AM9" s="134"/>
      <c r="AN9" s="134"/>
      <c r="AO9" s="134"/>
      <c r="AP9" s="134"/>
      <c r="AQ9" s="170"/>
      <c r="AR9" s="220" t="str">
        <f>IFERROR(CONCATENATE(F8," / ",F7),"")</f>
        <v xml:space="preserve"> / Juniors 13 - 19</v>
      </c>
      <c r="AS9" s="220"/>
      <c r="AT9" s="220"/>
    </row>
    <row r="10" spans="1:46" ht="7.35" customHeight="1" x14ac:dyDescent="0.2">
      <c r="A10" s="19"/>
      <c r="B10" s="19"/>
      <c r="C10" s="19"/>
      <c r="D10" s="20"/>
      <c r="E10" s="20"/>
      <c r="G10" s="21" t="s">
        <v>28</v>
      </c>
      <c r="H10" s="21" t="s">
        <v>27</v>
      </c>
      <c r="I10" s="22" t="s">
        <v>19</v>
      </c>
      <c r="J10" s="22" t="s">
        <v>26</v>
      </c>
      <c r="K10" s="22" t="s">
        <v>747</v>
      </c>
      <c r="L10" s="22" t="s">
        <v>775</v>
      </c>
      <c r="M10" s="22" t="s">
        <v>776</v>
      </c>
      <c r="N10" s="22" t="s">
        <v>743</v>
      </c>
      <c r="O10" s="22" t="s">
        <v>742</v>
      </c>
      <c r="P10" s="22" t="s">
        <v>744</v>
      </c>
      <c r="Q10" s="22" t="s">
        <v>777</v>
      </c>
      <c r="R10" s="22" t="s">
        <v>765</v>
      </c>
      <c r="S10" s="22"/>
      <c r="U10" s="22"/>
      <c r="V10" s="22"/>
      <c r="W10" s="22"/>
      <c r="X10" s="22"/>
      <c r="Y10" s="22"/>
      <c r="Z10" s="22"/>
      <c r="AA10" s="22"/>
      <c r="AB10" s="20"/>
      <c r="AC10" s="20"/>
      <c r="AD10" s="20"/>
      <c r="AE10" s="20"/>
      <c r="AF10" s="20"/>
      <c r="AG10" s="20"/>
      <c r="AH10" s="97"/>
      <c r="AI10" s="97"/>
      <c r="AJ10" s="134"/>
      <c r="AK10" s="134"/>
      <c r="AL10" s="134"/>
      <c r="AM10" s="134"/>
      <c r="AN10" s="134"/>
      <c r="AO10" s="134"/>
      <c r="AP10" s="134"/>
      <c r="AQ10" s="136"/>
    </row>
    <row r="11" spans="1:46" ht="15" customHeight="1" x14ac:dyDescent="0.2">
      <c r="A11" s="58"/>
      <c r="B11" s="58"/>
      <c r="C11" s="59"/>
      <c r="D11" s="60"/>
      <c r="E11" s="20"/>
      <c r="G11" s="16" t="s">
        <v>86</v>
      </c>
      <c r="H11" s="16" t="s">
        <v>30</v>
      </c>
      <c r="I11" s="23" t="s">
        <v>87</v>
      </c>
      <c r="J11" s="23" t="s">
        <v>26</v>
      </c>
      <c r="K11" s="23" t="s">
        <v>767</v>
      </c>
      <c r="L11" s="23" t="s">
        <v>768</v>
      </c>
      <c r="M11" s="23" t="s">
        <v>769</v>
      </c>
      <c r="N11" s="23" t="s">
        <v>770</v>
      </c>
      <c r="O11" s="23" t="s">
        <v>771</v>
      </c>
      <c r="P11" s="23" t="s">
        <v>772</v>
      </c>
      <c r="Q11" s="23" t="s">
        <v>88</v>
      </c>
      <c r="R11" s="23" t="s">
        <v>773</v>
      </c>
      <c r="S11" s="23"/>
      <c r="U11" s="23"/>
      <c r="V11" s="23"/>
      <c r="W11" s="23"/>
      <c r="X11" s="23"/>
      <c r="Y11" s="23"/>
      <c r="Z11" s="23"/>
      <c r="AA11" s="23"/>
      <c r="AB11" s="20"/>
      <c r="AC11" s="20"/>
      <c r="AD11" s="20"/>
      <c r="AE11" s="20"/>
      <c r="AF11" s="20"/>
      <c r="AG11" s="20"/>
      <c r="AH11" s="97"/>
      <c r="AI11" s="97"/>
      <c r="AJ11" s="134"/>
      <c r="AK11" s="134"/>
      <c r="AL11" s="134"/>
      <c r="AM11" s="134"/>
      <c r="AN11" s="134"/>
      <c r="AO11" s="134"/>
      <c r="AP11" s="134"/>
      <c r="AQ11" s="136"/>
      <c r="AR11" s="135" t="s">
        <v>764</v>
      </c>
      <c r="AS11" s="137" t="str">
        <f>IF(OR(AR9="Team Free / 12 and under",AR9="Team Free / Youth 13 - 15"),"Y","N")</f>
        <v>N</v>
      </c>
    </row>
    <row r="12" spans="1:46" ht="15" customHeight="1" thickBot="1" x14ac:dyDescent="0.25">
      <c r="A12" s="60">
        <v>1.0000578703703704</v>
      </c>
      <c r="B12" s="60" t="str">
        <f>IFERROR(TIME(0,C14,D14-5),"")</f>
        <v/>
      </c>
      <c r="C12" s="59" t="str">
        <f>IFERROR(INDEX(Data!F3:F36,MATCH(AR9,Data!G3:G36,0)),"")</f>
        <v/>
      </c>
      <c r="D12" s="60" t="str">
        <f>IFERROR(TIME(0,C14,D14+5),"")</f>
        <v/>
      </c>
      <c r="E12" s="20"/>
      <c r="F12" s="12" t="s">
        <v>84</v>
      </c>
      <c r="H12" s="16" t="str">
        <f>IFERROR(INDEX(Data!H$3:H$36,MATCH($AR$9,Data!$G$3:$G$36,0)),"")</f>
        <v/>
      </c>
      <c r="I12" s="16" t="str">
        <f>IFERROR(INDEX(Data!J$3:J$36,MATCH($AR$9,Data!$G$3:$G$36,0)),"")</f>
        <v/>
      </c>
      <c r="J12" s="16" t="str">
        <f>IFERROR(INDEX(Data!I$3:I$36,MATCH($AR$9,Data!$G$3:$G$36,0)),"")</f>
        <v/>
      </c>
      <c r="K12" s="16" t="str">
        <f>IFERROR(INDEX(Data!K$3:K$36,MATCH($AR$9,Data!$G$3:$G$36,0)),"")</f>
        <v/>
      </c>
      <c r="L12" s="16" t="str">
        <f>IFERROR(INDEX(Data!L$3:L$36,MATCH($AR$9,Data!$G$3:$G$36,0)),"")</f>
        <v/>
      </c>
      <c r="M12" s="16" t="str">
        <f>IFERROR(INDEX(Data!M$3:M$36,MATCH($AR$9,Data!$G$3:$G$36,0)),"")</f>
        <v/>
      </c>
      <c r="N12" s="16" t="str">
        <f>IFERROR(INDEX(Data!N$3:N$36,MATCH($AR$9,Data!$G$3:$G$36,0)),"")</f>
        <v/>
      </c>
      <c r="O12" s="16" t="str">
        <f>IFERROR(INDEX(Data!O$3:O$36,MATCH($AR$9,Data!$G$3:$G$36,0)),"")</f>
        <v/>
      </c>
      <c r="P12" s="16" t="str">
        <f>IFERROR(INDEX(Data!P$3:P$36,MATCH($AR$9,Data!$G$3:$G$36,0)),"")</f>
        <v/>
      </c>
      <c r="Q12" s="16" t="str">
        <f>IFERROR(INDEX(Data!Q$3:Q$36,MATCH($AR$9,Data!$G$3:$G$36,0)),"")</f>
        <v/>
      </c>
      <c r="R12" s="16" t="str">
        <f>IFERROR(INDEX(Data!R$3:R$36,MATCH($AR$9,Data!$G$3:$G$36,0)),"")</f>
        <v/>
      </c>
      <c r="S12" s="16"/>
      <c r="U12" s="16"/>
      <c r="V12" s="16"/>
      <c r="W12" s="16"/>
      <c r="X12" s="16"/>
      <c r="Y12" s="16"/>
      <c r="Z12" s="16"/>
      <c r="AA12" s="16"/>
      <c r="AB12" s="20"/>
      <c r="AC12" s="20"/>
      <c r="AD12" s="20"/>
      <c r="AE12" s="20"/>
      <c r="AF12" s="20"/>
      <c r="AG12" s="20"/>
      <c r="AH12" s="97"/>
      <c r="AI12" s="97"/>
      <c r="AJ12" s="134"/>
      <c r="AK12" s="134"/>
      <c r="AL12" s="134"/>
      <c r="AM12" s="134"/>
      <c r="AN12" s="134"/>
      <c r="AO12" s="134"/>
      <c r="AP12" s="134"/>
      <c r="AQ12" s="136"/>
      <c r="AR12" s="138">
        <v>1</v>
      </c>
      <c r="AS12" s="139" t="e">
        <f>IFERROR(SECOND(AR14-AS14),SECOND(AS14-AR14))</f>
        <v>#N/A</v>
      </c>
    </row>
    <row r="13" spans="1:46" ht="15" customHeight="1" thickBot="1" x14ac:dyDescent="0.25">
      <c r="A13" s="58"/>
      <c r="B13" s="149" t="str">
        <f>IF(AS17&gt;D12,"Y","")</f>
        <v/>
      </c>
      <c r="C13" s="21" t="str">
        <f>IF(OR(AS17&lt;B12,AS17&gt;D12),"Y","")</f>
        <v>Y</v>
      </c>
      <c r="D13" s="61"/>
      <c r="E13" s="20"/>
      <c r="F13" s="12" t="s">
        <v>85</v>
      </c>
      <c r="G13" s="16">
        <f>COUNTIF($F$19:$F$54,G10)</f>
        <v>0</v>
      </c>
      <c r="H13" s="16">
        <f t="shared" ref="H13:R13" si="0">COUNTIF($F$19:$F$54,H10)</f>
        <v>0</v>
      </c>
      <c r="I13" s="16">
        <f>COUNTIF($F$19:$F$54,I10)</f>
        <v>0</v>
      </c>
      <c r="J13" s="16">
        <f>COUNTIF($F$19:$F$54,J10)</f>
        <v>0</v>
      </c>
      <c r="K13" s="16">
        <f t="shared" si="0"/>
        <v>0</v>
      </c>
      <c r="L13" s="16">
        <f t="shared" si="0"/>
        <v>0</v>
      </c>
      <c r="M13" s="16">
        <f t="shared" si="0"/>
        <v>0</v>
      </c>
      <c r="N13" s="16">
        <f t="shared" si="0"/>
        <v>0</v>
      </c>
      <c r="O13" s="16">
        <f t="shared" si="0"/>
        <v>0</v>
      </c>
      <c r="P13" s="16">
        <f t="shared" si="0"/>
        <v>0</v>
      </c>
      <c r="Q13" s="16">
        <f t="shared" si="0"/>
        <v>0</v>
      </c>
      <c r="R13" s="16">
        <f t="shared" si="0"/>
        <v>0</v>
      </c>
      <c r="S13" s="16"/>
      <c r="U13" s="16"/>
      <c r="V13" s="16"/>
      <c r="W13" s="16"/>
      <c r="X13" s="16"/>
      <c r="Y13" s="16"/>
      <c r="Z13" s="16"/>
      <c r="AA13" s="16"/>
      <c r="AB13" s="20"/>
      <c r="AC13" s="20"/>
      <c r="AD13" s="20"/>
      <c r="AE13" s="20"/>
      <c r="AF13" s="24" t="s">
        <v>95</v>
      </c>
      <c r="AG13" s="25">
        <f>SUM(AG18:AG68)</f>
        <v>0</v>
      </c>
      <c r="AH13" s="97"/>
      <c r="AI13" s="97"/>
      <c r="AJ13" s="134"/>
      <c r="AK13" s="134"/>
      <c r="AL13" s="134"/>
      <c r="AM13" s="134"/>
      <c r="AN13" s="134"/>
      <c r="AO13" s="134"/>
      <c r="AP13" s="134"/>
      <c r="AQ13" s="140"/>
      <c r="AR13" s="138"/>
      <c r="AS13" s="138" t="e">
        <f>AR14-AS14</f>
        <v>#N/A</v>
      </c>
    </row>
    <row r="14" spans="1:46" ht="18.75" customHeight="1" thickBot="1" x14ac:dyDescent="0.25">
      <c r="A14" s="19"/>
      <c r="B14" s="26" t="s">
        <v>90</v>
      </c>
      <c r="C14" s="27" t="str">
        <f>IFERROR(MINUTE(INDEX(Data!$F$3:$F$36,MATCH(AR9,Data!$G$3:$G$36,0))),"")</f>
        <v/>
      </c>
      <c r="D14" s="27" t="str">
        <f>IFERROR(SECOND(INDEX(Data!$F$3:$F$36,MATCH(AR9,Data!$G$3:$G$36,0))),"")</f>
        <v/>
      </c>
      <c r="E14" s="27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97"/>
      <c r="AI14" s="97"/>
      <c r="AJ14" s="134"/>
      <c r="AK14" s="134"/>
      <c r="AL14" s="134"/>
      <c r="AM14" s="134"/>
      <c r="AN14" s="134"/>
      <c r="AO14" s="134"/>
      <c r="AP14" s="134"/>
      <c r="AQ14" s="136"/>
      <c r="AR14" s="138" t="e">
        <f>IF(AS14=INDEX(Data!$F$3:$F$36,MATCH(AR9,Data!$G$3:$G$36,0)),"X",INDEX(Data!$F$3:$F$36,MATCH(AR9,Data!$G$3:$G$36,0))-AR12)</f>
        <v>#N/A</v>
      </c>
      <c r="AS14" s="137" t="e">
        <f>INDEX($AS$19:$AS$55,MATCH("x",$E$19:$E$55,0))</f>
        <v>#N/A</v>
      </c>
      <c r="AT14" s="141">
        <v>2.488425925925926E-3</v>
      </c>
    </row>
    <row r="15" spans="1:46" ht="15.95" thickBot="1" x14ac:dyDescent="0.25">
      <c r="A15" s="228" t="s">
        <v>7</v>
      </c>
      <c r="B15" s="229"/>
      <c r="C15" s="229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1"/>
      <c r="AH15" s="97"/>
      <c r="AI15" s="97"/>
      <c r="AJ15" s="134"/>
      <c r="AK15" s="134"/>
      <c r="AL15" s="134"/>
      <c r="AM15" s="134"/>
      <c r="AN15" s="134"/>
      <c r="AO15" s="134"/>
      <c r="AP15" s="134"/>
      <c r="AQ15" s="142"/>
      <c r="AR15" s="135" t="str">
        <f>IFERROR(INDEX(Data!S3:S36,MATCH(AR9,Data!G3:G36,0)),"")</f>
        <v/>
      </c>
      <c r="AS15" s="135" t="str">
        <f>IFERROR(INDEX(Data!T3:T36,MATCH(AR9,Data!G3:G36,0)),"")</f>
        <v/>
      </c>
      <c r="AT15" s="141">
        <v>2.372685185185075E-3</v>
      </c>
    </row>
    <row r="16" spans="1:46" ht="15" customHeight="1" x14ac:dyDescent="0.25">
      <c r="A16" s="28"/>
      <c r="F16" s="16"/>
      <c r="G16" s="29"/>
      <c r="H16" s="232" t="s">
        <v>91</v>
      </c>
      <c r="I16" s="233"/>
      <c r="J16" s="62" t="s">
        <v>96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56"/>
      <c r="AB16" s="234" t="s">
        <v>97</v>
      </c>
      <c r="AC16" s="235"/>
      <c r="AD16" s="235"/>
      <c r="AE16" s="235"/>
      <c r="AF16" s="236"/>
      <c r="AG16" s="30" t="s">
        <v>93</v>
      </c>
      <c r="AH16" s="97"/>
      <c r="AI16" s="97"/>
      <c r="AJ16" s="134"/>
      <c r="AK16" s="134"/>
      <c r="AL16" s="134"/>
      <c r="AM16" s="134"/>
      <c r="AN16" s="134"/>
      <c r="AO16" s="134"/>
      <c r="AP16" s="134"/>
      <c r="AQ16" s="143"/>
    </row>
    <row r="17" spans="1:83" ht="25.5" customHeight="1" thickBot="1" x14ac:dyDescent="0.3">
      <c r="A17" s="221" t="s">
        <v>75</v>
      </c>
      <c r="B17" s="222"/>
      <c r="C17" s="223" t="s">
        <v>76</v>
      </c>
      <c r="D17" s="223"/>
      <c r="E17" s="32" t="s">
        <v>757</v>
      </c>
      <c r="F17" s="31" t="s">
        <v>79</v>
      </c>
      <c r="G17" s="33" t="s">
        <v>92</v>
      </c>
      <c r="H17" s="67"/>
      <c r="I17" s="34"/>
      <c r="J17" s="64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57"/>
      <c r="AB17" s="237"/>
      <c r="AC17" s="238"/>
      <c r="AD17" s="238"/>
      <c r="AE17" s="238"/>
      <c r="AF17" s="239"/>
      <c r="AG17" s="35" t="s">
        <v>94</v>
      </c>
      <c r="AH17" s="97"/>
      <c r="AI17"/>
      <c r="AJ17" s="134"/>
      <c r="AK17" s="134"/>
      <c r="AL17" s="134"/>
      <c r="AM17" s="134"/>
      <c r="AN17" s="134"/>
      <c r="AO17" s="134"/>
      <c r="AP17" s="134"/>
      <c r="AQ17" s="143"/>
      <c r="AS17" s="138">
        <f>MAX(AS19:AS68)</f>
        <v>0</v>
      </c>
      <c r="AT17" s="135" t="str">
        <f>IF(AS17&gt;D12,"Y","N")</f>
        <v>N</v>
      </c>
      <c r="AU17" s="132"/>
      <c r="AV17" s="132"/>
      <c r="BU17" s="138">
        <v>2.3148148148148146E-4</v>
      </c>
      <c r="BV17" s="138"/>
      <c r="BW17" s="135" t="s">
        <v>842</v>
      </c>
      <c r="CE17" s="135" t="s">
        <v>1488</v>
      </c>
    </row>
    <row r="18" spans="1:83" ht="12.95" x14ac:dyDescent="0.2">
      <c r="A18" s="28" t="s">
        <v>77</v>
      </c>
      <c r="B18" s="16" t="s">
        <v>78</v>
      </c>
      <c r="C18" s="16" t="s">
        <v>77</v>
      </c>
      <c r="D18" s="16" t="s">
        <v>78</v>
      </c>
      <c r="E18" s="36"/>
      <c r="F18" s="36"/>
      <c r="G18" s="37"/>
      <c r="H18" s="38"/>
      <c r="I18" s="39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3">
        <v>1</v>
      </c>
      <c r="AC18" s="164">
        <v>2</v>
      </c>
      <c r="AD18" s="164">
        <v>3</v>
      </c>
      <c r="AE18" s="164">
        <v>4</v>
      </c>
      <c r="AF18" s="165">
        <v>5</v>
      </c>
      <c r="AG18" s="41"/>
      <c r="AH18" s="97"/>
      <c r="AI18" s="97"/>
      <c r="AJ18" s="134"/>
      <c r="AK18" s="134"/>
      <c r="AL18" s="134"/>
      <c r="AM18" s="134"/>
      <c r="AN18" s="134"/>
      <c r="AO18" s="134"/>
      <c r="AP18" s="134"/>
      <c r="AQ18" s="134"/>
      <c r="AS18" s="138">
        <v>0</v>
      </c>
      <c r="AU18" s="132"/>
      <c r="AV18" s="132"/>
      <c r="AW18" s="132" t="s">
        <v>837</v>
      </c>
      <c r="AX18" s="132" t="s">
        <v>838</v>
      </c>
      <c r="AY18" s="132" t="s">
        <v>297</v>
      </c>
      <c r="AZ18" s="132" t="s">
        <v>839</v>
      </c>
      <c r="BA18" s="132" t="s">
        <v>840</v>
      </c>
      <c r="BB18" s="132">
        <v>1</v>
      </c>
      <c r="BC18" s="132">
        <v>2</v>
      </c>
      <c r="BD18" s="132">
        <v>3</v>
      </c>
      <c r="BE18" s="132">
        <v>4</v>
      </c>
      <c r="BF18" s="132">
        <v>5</v>
      </c>
      <c r="BG18" s="132">
        <v>6</v>
      </c>
      <c r="BH18" s="132">
        <v>7</v>
      </c>
      <c r="BI18" s="132">
        <v>8</v>
      </c>
      <c r="BJ18" s="132">
        <v>9</v>
      </c>
      <c r="BK18" s="132">
        <v>10</v>
      </c>
      <c r="BL18" s="132">
        <v>11</v>
      </c>
      <c r="BM18" s="132">
        <v>12</v>
      </c>
      <c r="BN18" s="132">
        <v>13</v>
      </c>
      <c r="BO18" s="132">
        <v>14</v>
      </c>
      <c r="BP18" s="132">
        <v>15</v>
      </c>
      <c r="BQ18" s="132">
        <v>16</v>
      </c>
      <c r="BR18" s="132">
        <v>17</v>
      </c>
      <c r="BS18" s="132">
        <v>18</v>
      </c>
      <c r="BU18" s="135" t="s">
        <v>841</v>
      </c>
      <c r="BY18" s="132">
        <v>1</v>
      </c>
      <c r="BZ18" s="132">
        <v>2</v>
      </c>
      <c r="CA18" s="132">
        <v>3</v>
      </c>
      <c r="CB18" s="132">
        <v>4</v>
      </c>
      <c r="CC18" s="132">
        <v>5</v>
      </c>
    </row>
    <row r="19" spans="1:83" ht="12.95" x14ac:dyDescent="0.2">
      <c r="A19" s="42" t="str">
        <f>IF(C14="","",0)</f>
        <v/>
      </c>
      <c r="B19" s="43" t="str">
        <f>IF(D14="","",0)</f>
        <v/>
      </c>
      <c r="C19" s="54"/>
      <c r="D19" s="54"/>
      <c r="E19" s="9"/>
      <c r="F19" s="55"/>
      <c r="G19" s="45" t="str">
        <f>IF(F19&lt;&gt;"",IF(OR(F19="Transition",F19="Connected Surface Movment",F19="Cadense"),0,1),"")</f>
        <v/>
      </c>
      <c r="H19" s="68" t="str">
        <f>IF(E20=3,"",IF(E20="H","BM",IF(E20="PA",IF(OR(LEFT(J19,1)="L",LEFT(J19,1)="S"),"A-Pair-Lift",IF(OR(LEFT(J19,1)="W",LEFT(J19,1)="T"),"A-Pair-Throw",IF(LEFT(J19,1)="J","A-Pair-Jump","A-Pair"))),IF(OR(E20="A",E20="B",E20="C",E20="P"),CONCATENATE("Acro-",J19),""))))</f>
        <v/>
      </c>
      <c r="I19" s="69"/>
      <c r="J19" s="161"/>
      <c r="K19" s="172"/>
      <c r="L19" s="161"/>
      <c r="M19" s="161"/>
      <c r="N19" s="17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6"/>
      <c r="AC19" s="161"/>
      <c r="AD19" s="161"/>
      <c r="AE19" s="161"/>
      <c r="AF19" s="167"/>
      <c r="AG19" s="47"/>
      <c r="AH19" s="97"/>
      <c r="AI19" s="97"/>
      <c r="AJ19" s="134"/>
      <c r="AK19" s="134"/>
      <c r="AL19" s="134"/>
      <c r="AM19" s="134"/>
      <c r="AN19" s="134"/>
      <c r="AO19" s="134"/>
      <c r="AP19" s="134"/>
      <c r="AQ19" s="134"/>
      <c r="AR19" s="137" t="e">
        <f>TIME(0,A19,B19)</f>
        <v>#VALUE!</v>
      </c>
      <c r="AS19" s="138">
        <f>TIME(0,C19,D19)</f>
        <v>0</v>
      </c>
      <c r="AU19" s="132" t="str">
        <f>IF(AND(F19="Hybrid - Thrust",OR(LEFT(J19,1)="T",LEFT(K19,1)="T",LEFT(L19,1)="T",LEFT(JX19,1)="T",LEFT(M19,1)="T",LEFT(N19,1)="T",LEFT(O19,1)="T",LEFT(P19,1)="T",LEFT(Q19,1)="T",LEFT(R19,1)="T",LEFT(S19,1)="T",LEFT(T19,1)="T",LEFT(U19,1)="T",LEFT(V19,1)="T",LEFT(W19,1)="T",LEFT(X19,1)="T",LEFT(Y19,1)="T",LEFT(Z19,1)="T",LEFT(AA19,1)="T")),IF(OR(LEN(J19)=2,LEN(K19)=2,LEN(L19)=2,LEN(M19)=2,LEN(N19)=2,LEN(O19)=2,LEN(P19)=2,LEN(Q19)=2,LEN(R19)=2,LEN(S19)=2,LEN(T19)=2,LEN(U19)=2,LEN(V19)=2,LEN(W19)=2,LEN(X19)=2,LEN(Y19)=2,LEN(Z19)=2,LEN(AA19)=2),"X",""),IF(AND(F19="Hybrid - 720",OR(J19="R3",K19="R3",L19="R3",M19="R3",N19="R3",O19="R3",P19="R3",Q19="R3",R19="R3",S19="R3",T19="R3",U19="R3",V19="R3",W19="R3",X19="R3",Y19="R3",Z19="R3",AA19="R3")),"X",""))</f>
        <v/>
      </c>
      <c r="AV19" s="132"/>
      <c r="AW19" s="135">
        <f>COUNTIF(BB19:BS19,"=T1")+COUNTIF(BB19:BS19,"=T2")+COUNTIF(BB19:BS19,"=T3")+COUNTIF(BB19:BS19,"=T4")</f>
        <v>0</v>
      </c>
      <c r="AX19" s="135">
        <f>COUNTIF(BB19:BS19,"=r1")+COUNTIF(BB19:BS19,"=r2")+COUNTIF(BB19:BS19,"=r3")+COUNTIF(BB19:BS19,"=r4")</f>
        <v>0</v>
      </c>
      <c r="AY19" s="135">
        <f>COUNTIF(BB19:BS19,"=A")</f>
        <v>0</v>
      </c>
      <c r="AZ19" s="135">
        <f>COUNTIF(BB19:BS19,"=F")</f>
        <v>0</v>
      </c>
      <c r="BA19" s="135">
        <f>COUNTIF(BB19:BS19,"=C")</f>
        <v>0</v>
      </c>
      <c r="BB19" s="132" t="str">
        <f>IF($E20="H",IF(OR(LEFT(J19,1)="T",LEFT(J19,1)="R"),LEFT(J19,2),LEFT(J19,1)),"")</f>
        <v/>
      </c>
      <c r="BC19" s="132" t="str">
        <f t="shared" ref="BC19:BS19" si="1">IF($E20="H",IF(OR(LEFT(K19,1)="T",LEFT(K19,1)="R"),LEFT(K19,2),LEFT(K19,1)),"")</f>
        <v/>
      </c>
      <c r="BD19" s="132" t="str">
        <f t="shared" si="1"/>
        <v/>
      </c>
      <c r="BE19" s="132" t="str">
        <f t="shared" si="1"/>
        <v/>
      </c>
      <c r="BF19" s="132" t="str">
        <f t="shared" si="1"/>
        <v/>
      </c>
      <c r="BG19" s="132" t="str">
        <f t="shared" si="1"/>
        <v/>
      </c>
      <c r="BH19" s="132" t="str">
        <f t="shared" si="1"/>
        <v/>
      </c>
      <c r="BI19" s="132" t="str">
        <f t="shared" si="1"/>
        <v/>
      </c>
      <c r="BJ19" s="132" t="str">
        <f t="shared" si="1"/>
        <v/>
      </c>
      <c r="BK19" s="132" t="str">
        <f t="shared" si="1"/>
        <v/>
      </c>
      <c r="BL19" s="132" t="str">
        <f t="shared" si="1"/>
        <v/>
      </c>
      <c r="BM19" s="132" t="str">
        <f t="shared" si="1"/>
        <v/>
      </c>
      <c r="BN19" s="132" t="str">
        <f t="shared" si="1"/>
        <v/>
      </c>
      <c r="BO19" s="132" t="str">
        <f t="shared" si="1"/>
        <v/>
      </c>
      <c r="BP19" s="132" t="str">
        <f t="shared" si="1"/>
        <v/>
      </c>
      <c r="BQ19" s="132" t="str">
        <f t="shared" si="1"/>
        <v/>
      </c>
      <c r="BR19" s="132" t="str">
        <f t="shared" si="1"/>
        <v/>
      </c>
      <c r="BS19" s="132" t="str">
        <f t="shared" si="1"/>
        <v/>
      </c>
      <c r="BU19" s="144" t="str">
        <f>IF(OR(LEFT(AB19,2)="PL",LEFT(AC19,2)="PL",LEFT(AD19,2)="PL",LEFT(AE19,2)="PL",LEFT(AF19,2)="PL"),IF($AS$17-AR19&gt;$BU$17,"X",""),"")</f>
        <v/>
      </c>
      <c r="BV19" s="144"/>
      <c r="BW19" s="135">
        <f>IF(COUNTIF(BY19:CC19,BY19)&gt;1,1,IF(COUNTIF(BY19:CC19,BZ19)&gt;1,2,IF(COUNTIF(BY19:CC19,CA19)&gt;1,3,IF(COUNTIF(BY19:CC19,CB19)&gt;1,4,IF(COUNTIF(BY19:CC19,CC19)&gt;1,5,"")))))</f>
        <v>1</v>
      </c>
      <c r="BX19" s="135">
        <f>IF(COUNTIF(BY19:CC19,CC19)&gt;1,5,IF(COUNTIF(BY19:CC19,CB19)&gt;1,4,IF(COUNTIF(BY19:CC19,CA19)&gt;1,3,IF(COUNTIF(BY19:CC19,BZ19)&gt;1,2,IF(COUNTIF(BY19:CC19,BY19)&gt;1,1,"")))))</f>
        <v>5</v>
      </c>
      <c r="BY19" s="132" t="str">
        <f>IFERROR(IF($E20="H",IF(AB19="",BY$18,IF(ISNUMBER(_xlfn.NUMBERVALUE(LEFT(AB19,1))),MID(AB19,2,4),LEFT(AB19,4))),""),"")</f>
        <v/>
      </c>
      <c r="BZ19" s="132" t="str">
        <f>IFERROR(IF($E20="H",IF(AC19="",BZ$18,IF(ISNUMBER(_xlfn.NUMBERVALUE(LEFT(AC19,1))),MID(AC19,2,4),LEFT(AC19,4))),""),"")</f>
        <v/>
      </c>
      <c r="CA19" s="132" t="str">
        <f>IFERROR(IF($E20="H",IF(AD19="",CA$18,IF(ISNUMBER(_xlfn.NUMBERVALUE(LEFT(AD19,1))),MID(AD19,2,4),LEFT(AD19,4))),""),"")</f>
        <v/>
      </c>
      <c r="CB19" s="132" t="str">
        <f>IFERROR(IF($E20="H",IF(AE19="",CB$18,IF(ISNUMBER(_xlfn.NUMBERVALUE(LEFT(AE19,1))),MID(AE19,2,4),LEFT(AE19,4))),""),"")</f>
        <v/>
      </c>
      <c r="CC19" s="132" t="str">
        <f>IFERROR(IF($E20="H",IF(AF19="",CC$18,IF(ISNUMBER(_xlfn.NUMBERVALUE(LEFT(AF19,1))),MID(AF19,2,4),LEFT(AF19,4))),""),"")</f>
        <v/>
      </c>
      <c r="CE19" s="135" t="str">
        <f>IF(E20=3,_xlfn.NUMBERVALUE(LEFT(J19,1)),"")</f>
        <v/>
      </c>
    </row>
    <row r="20" spans="1:83" ht="12.95" x14ac:dyDescent="0.2">
      <c r="A20" s="42"/>
      <c r="B20" s="43"/>
      <c r="C20" s="43"/>
      <c r="D20" s="43"/>
      <c r="E20" s="21" t="str">
        <f>IF(F19="Acrobatic","PA",IF(F19="Acrobatic Airborn","A",IF(F19="Acrobatic Balance","B",IF(F19="Acrobatic Combined","C",IF(F19="Acrobatic Platform","P",IF(F19="Technical Required Element",3,IF(LEFT(F19,4)="Hybr","H","")))))))</f>
        <v/>
      </c>
      <c r="F20" s="21" t="str">
        <f>IF(OR(F19="Acrobatic Airborn",F19="Acrobatic Balance",F19="Acrobatic Combined",F19="Acrobatic Platform"),"Acrobatic",IF(AND(F19="Hybrid - Thrust",AU19="X"),"Hybrid - Thrust - X",IF(AND(F19="Hybrid - 720",AU19="X"),"Hybrid - 720 - X","")))</f>
        <v/>
      </c>
      <c r="G20" s="45"/>
      <c r="H20" s="68" t="str">
        <f t="shared" ref="H20:H68" si="2">IF(E21=3,"",IF(E21="H","BM",IF(E21="PA","A-Pair",IF(OR(E21="A",E21="B",E21="C",E21="P"),CONCATENATE("Acro-",E21),""))))</f>
        <v/>
      </c>
      <c r="I20" s="69"/>
      <c r="J20" s="16">
        <f>IFERROR(IF($E20="",0,IF(AND($E20="H",$F$8&lt;&gt;"Acrobatic"),VLOOKUP(J19,HybridDDX,2,FALSE),IF($E20="PA",VLOOKUP(J19,AcroPairDDX,2,FALSE),IF(OR($E20="A",$E20="B",$E20="C",$E20="P"),0,IF($E20=3,VLOOKUP(J19,TreDDX,2,FALSE),0))))),0)</f>
        <v>0</v>
      </c>
      <c r="K20" s="16">
        <f>IFERROR(IF($E20="",0,IF(AND($E20="H",$F$8&lt;&gt;"Acrobatic"),VLOOKUP(K19,HybridDDX,2,FALSE),IF($E20="PA",0,IF($E20="A",SUMPRODUCT(--EXACT(K19,AcroADD2),AcroADD2X),IF($E20="B",SUMPRODUCT(--EXACT(K19,AcroBDD2),AcroBDD2X),IF($E20="C",SUMPRODUCT(--EXACT(K19,AcroCDD2),AcroCDD2X),IF($E20="P",SUMPRODUCT(--EXACT(K19,AcroPDD2),AcroPDD2X),IF($E20=3,0,0)))))))),0)</f>
        <v>0</v>
      </c>
      <c r="L20" s="16">
        <f t="array" ref="L20">IFERROR(IF($E20="",0,IF(AND($E20="H",$F$8&lt;&gt;"Acrobatic"),VLOOKUP(L19,HybridDDX,2,FALSE),IF($E20="PA",0,IF($E20="A",SUMPRODUCT(--EXACT(L19,AcroADD3),AcroADD3X),IF($E20="B",SUMPRODUCT(--EXACT(CONCATENATE(LEN(L19),L19),AcroBDD3W),AcroBDD3X),IF($E20="C",SUMPRODUCT(--EXACT(L19,AcroCDD3),AcroCDD3X),IF($E20="P",SUMPRODUCT(--EXACT(L19,AcroPDD3),AcroPDD3X),IF($E20=3,0,0)))))))),0)</f>
        <v>0</v>
      </c>
      <c r="M20" s="16">
        <f>IFERROR(IF($E20="",0,IF(AND($E20="H",$F$8&lt;&gt;"Acrobatic"),VLOOKUP(M19,HybridDDX,2,FALSE),IF($E20="PA",0,IF($E20="A",SUMPRODUCT(--EXACT(M19,AcroADD4p1),AcroADD4p1X),IF($E20="B",SUMPRODUCT(--EXACT(M19,AcroBDD4p1),AcroBDD4p1X),IF($E20="C",SUMPRODUCT(--EXACT(M19,AcroCDD4p1),AcroCDD4p1X),IF($E20="P",SUMPRODUCT(--EXACT(M19,AcroPDD4p1),AcroPDD4p1X),IF($E20=3,0,0)))))))),0)</f>
        <v>0</v>
      </c>
      <c r="N20" s="16">
        <f>IFERROR(IF($E20="",0,IF(AND($E20="H",$F$8&lt;&gt;"Acrobatic"),VLOOKUP(N19,HybridDDX,2,FALSE),IF($E20="PA",0,IF($E20="A",SUMPRODUCT(--EXACT(N19,AcroADD4p2),AcroADD4p2X),IF($E20="B",SUMPRODUCT(--EXACT(N19,AcroBDD4p2),AcroBDD4p2X),IF($E20="C",SUMPRODUCT(--EXACT(N19,AcroCDD4p2),AcroCDD4p2X),IF($E20="P",SUMPRODUCT(--EXACT(N19,AcroPDD4p2),AcroPDD4p2X),IF($E20=3,0,0)))))))),0)</f>
        <v>0</v>
      </c>
      <c r="O20" s="16">
        <f>IFERROR(IF($E20="",0,IF(AND($E20="H",$F$8&lt;&gt;"Acrobatic"),VLOOKUP(O19,HybridDDX,2,FALSE),IF($E20="PA",0,IF($E20="A",SUMPRODUCT(--EXACT(O19,AcroADD5),AcroADD5X),IF($E20="B",SUMPRODUCT(--EXACT(O19,AcroBDD5),AcroBDD5X),IF($E20="C",SUMPRODUCT(--EXACT(O19,AcroCDD5),AcroCDD5X),IF($E20="P",SUMPRODUCT(--EXACT(O19,AcroPDD5),AcroPDD5X),IF($E20=3,0,0)))))))),0)</f>
        <v>0</v>
      </c>
      <c r="P20" s="16">
        <f>IFERROR(IF($E20="",0,IF(AND($E20="H",$F$8&lt;&gt;"Acrobatic"),VLOOKUP(P19,HybridDDX,2,FALSE),IF($E20="C",SUMPRODUCT(--EXACT(P19,AcroCDD6),AcroCDD6X),0))),0)</f>
        <v>0</v>
      </c>
      <c r="Q20" s="16">
        <f t="shared" ref="Q20:AA20" si="3">IFERROR(IF($E20="",0,IF(AND($E20="H",$F$8&lt;&gt;"Acrobatic"),VLOOKUP(Q19,HybridDDX,2,FALSE),0)),0)</f>
        <v>0</v>
      </c>
      <c r="R20" s="16">
        <f t="shared" si="3"/>
        <v>0</v>
      </c>
      <c r="S20" s="16">
        <f t="shared" si="3"/>
        <v>0</v>
      </c>
      <c r="T20" s="16">
        <f t="shared" si="3"/>
        <v>0</v>
      </c>
      <c r="U20" s="16">
        <f t="shared" si="3"/>
        <v>0</v>
      </c>
      <c r="V20" s="16">
        <f t="shared" si="3"/>
        <v>0</v>
      </c>
      <c r="W20" s="16">
        <f t="shared" si="3"/>
        <v>0</v>
      </c>
      <c r="X20" s="16">
        <f t="shared" si="3"/>
        <v>0</v>
      </c>
      <c r="Y20" s="16">
        <f t="shared" si="3"/>
        <v>0</v>
      </c>
      <c r="Z20" s="16">
        <f t="shared" si="3"/>
        <v>0</v>
      </c>
      <c r="AA20" s="16">
        <f t="shared" si="3"/>
        <v>0</v>
      </c>
      <c r="AB20" s="28">
        <f>IFERROR(IF($E20="",0,IF(AND($E20="H",$F$8&lt;&gt;"Acrobatic"),VLOOKUP(AB19,BonusDDX,2,FALSE),IF($E20="A",VLOOKUP(AB19,AcroABonusX,2,FALSE),IF($E20="B",VLOOKUP(AB19,AcroBBonusX,2,FALSE),IF($E20="C",VLOOKUP(AB19,AcroCBonusX,2,FALSE),IF($E20="P",VLOOKUP(AB19,AcroPBonusX,2,FALSE),0)))))),0)</f>
        <v>0</v>
      </c>
      <c r="AC20" s="16">
        <f>IFERROR(IF($E20="",0,IF(AND($E20="H",$F$8&lt;&gt;"Acrobatic"),VLOOKUP(AC19,BonusDDX,2,FALSE),IF($E20="A",VLOOKUP(AC19,AcroABonusX,2,FALSE),IF($E20="B",VLOOKUP(AC19,AcroBBonusX,2,FALSE),IF($E20="C",VLOOKUP(AC19,AcroCBonusX,2,FALSE),IF($E20="P",VLOOKUP(AC19,AcroPBonusX,2,FALSE),0)))))),0)</f>
        <v>0</v>
      </c>
      <c r="AD20" s="16">
        <f>IFERROR(IF($E20="",0,IF(AND($E20="H",$F$8&lt;&gt;"Acrobatic"),VLOOKUP(AD19,BonusDDX,2,FALSE),0)),0)</f>
        <v>0</v>
      </c>
      <c r="AE20" s="16">
        <f>IFERROR(IF($E20="",0,IF(AND($E20="H",$F$8&lt;&gt;"Acrobatic"),VLOOKUP(AE19,BonusDDX,2,FALSE),0)),0)</f>
        <v>0</v>
      </c>
      <c r="AF20" s="46">
        <f>IFERROR(IF($E20="",0,IF(AND($E20="H",$F$8&lt;&gt;"Acrobatic"),VLOOKUP(AF19,BonusDDX,2,FALSE),0)),0)</f>
        <v>0</v>
      </c>
      <c r="AG20" s="71">
        <f>SUM(H20:AF20)</f>
        <v>0</v>
      </c>
      <c r="AH20" s="97"/>
      <c r="AI20" s="97"/>
      <c r="AJ20" s="134"/>
      <c r="AK20" s="134"/>
      <c r="AL20" s="134"/>
      <c r="AM20" s="134"/>
      <c r="AN20" s="134"/>
      <c r="AO20" s="134"/>
      <c r="AP20" s="134"/>
      <c r="AQ20" s="145"/>
      <c r="AR20" s="146" t="str">
        <f>IFERROR(IF($N$7="X",IF(AND(E20="C",AG20&gt;2.45),"X",IF(AND(E20="A",AG20&gt;2.65),"X",IF(AND(E20="B",AG20&gt;2.6),"X",IF(AND(E20="P",AG20&gt;2.5),"X","")))),""),"")</f>
        <v/>
      </c>
      <c r="AS20" s="138"/>
      <c r="AU20" s="132"/>
    </row>
    <row r="21" spans="1:83" ht="12.95" x14ac:dyDescent="0.2">
      <c r="A21" s="42" t="str">
        <f>IF(AND(E19="",A19&lt;&gt;""),IF(AS19=$AS$18,"",IF(C19&lt;&gt;"",IF(D19=59,MINUTE(AS19)+1,MINUTE(AS19)),"")),"")</f>
        <v/>
      </c>
      <c r="B21" s="43" t="str">
        <f>IF(AND(E19="",B19&lt;&gt;""),IF(AS19=$AS$18,"",IF(C19&lt;&gt;"",IF(D19=59,0,SECOND(AS19)+1),"")),"")</f>
        <v/>
      </c>
      <c r="C21" s="54"/>
      <c r="D21" s="54"/>
      <c r="E21" s="9"/>
      <c r="F21" s="55"/>
      <c r="G21" s="45" t="str">
        <f>IF(F21&lt;&gt;"",IF(OR(F21="Transition",F21="Connected Surface Movment",F21="Cadense"),0,MAX($G$19:G20)+1),"")</f>
        <v/>
      </c>
      <c r="H21" s="68" t="str">
        <f t="shared" ref="H21" si="4">IF(E22=3,"",IF(E22="H","BM",IF(E22="PA",IF(OR(LEFT(J21,1)="L",LEFT(J21,1)="S"),"A-Pair-Lift",IF(OR(LEFT(J21,1)="W",LEFT(J21,1)="T"),"A-Pair-Throw",IF(LEFT(J21,1)="J","A-Pair-Jump","A-Pair"))),IF(OR(E22="A",E22="B",E22="C",E22="P"),CONCATENATE("Acro-",J21),""))))</f>
        <v/>
      </c>
      <c r="I21" s="69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6"/>
      <c r="AC21" s="161"/>
      <c r="AD21" s="161"/>
      <c r="AE21" s="161"/>
      <c r="AF21" s="167"/>
      <c r="AG21" s="47"/>
      <c r="AH21" s="97"/>
      <c r="AI21" s="97"/>
      <c r="AJ21" s="134"/>
      <c r="AK21" s="134"/>
      <c r="AL21" s="134"/>
      <c r="AM21" s="134"/>
      <c r="AN21" s="134"/>
      <c r="AO21" s="134"/>
      <c r="AP21" s="134"/>
      <c r="AQ21" s="134"/>
      <c r="AR21" s="137" t="str">
        <f>IFERROR(TIME(0,A21,B21),"")</f>
        <v/>
      </c>
      <c r="AS21" s="138">
        <f>IFERROR(TIME(0,C21,D21),"")</f>
        <v>0</v>
      </c>
      <c r="AU21" s="132" t="str">
        <f>IF(AND(F21="Hybrid - Thrust",OR(LEFT(J21,1)="T",LEFT(K21,1)="T",LEFT(L21,1)="T",LEFT(JX21,1)="T",LEFT(M21,1)="T",LEFT(N21,1)="T",LEFT(O21,1)="T",LEFT(P21,1)="T",LEFT(Q21,1)="T",LEFT(R21,1)="T",LEFT(S21,1)="T",LEFT(T21,1)="T",LEFT(U21,1)="T",LEFT(V21,1)="T",LEFT(W21,1)="T",LEFT(X21,1)="T",LEFT(Y21,1)="T",LEFT(Z21,1)="T",LEFT(AA21,1)="T")),IF(OR(LEN(J21)=2,LEN(K21)=2,LEN(L21)=2,LEN(M21)=2,LEN(N21)=2,LEN(O21)=2,LEN(P21)=2,LEN(Q21)=2,LEN(R21)=2,LEN(S21)=2,LEN(T21)=2,LEN(U21)=2,LEN(V21)=2,LEN(W21)=2,LEN(X21)=2,LEN(Y21)=2,LEN(Z21)=2,LEN(AA21)=2),"X",""),IF(AND(F21="Hybrid - 720",OR(J21="R3",K21="R3",L21="R3",M21="R3",N21="R3",O21="R3",P21="R3",Q21="R3",R21="R3",S21="R3",T21="R3",U21="R3",V21="R3",W21="R3",X21="R3",Y21="R3",Z21="R3",AA21="R3")),"X",""))</f>
        <v/>
      </c>
      <c r="AV21" s="132"/>
      <c r="AW21" s="135">
        <f t="shared" ref="AW21" si="5">COUNTIF(BB21:BS21,"=T1")+COUNTIF(BB21:BS21,"=T2")+COUNTIF(BB21:BS21,"=T3")+COUNTIF(BB21:BS21,"=T4")</f>
        <v>0</v>
      </c>
      <c r="AX21" s="135">
        <f t="shared" ref="AX21" si="6">COUNTIF(BB21:BS21,"=r1")+COUNTIF(BB21:BS21,"=r2")+COUNTIF(BB21:BS21,"=r3")+COUNTIF(BB21:BS21,"=r4")</f>
        <v>0</v>
      </c>
      <c r="AY21" s="135">
        <f t="shared" ref="AY21" si="7">COUNTIF(BB21:BS21,"=A")</f>
        <v>0</v>
      </c>
      <c r="AZ21" s="135">
        <f t="shared" ref="AZ21" si="8">COUNTIF(BB21:BS21,"=F")</f>
        <v>0</v>
      </c>
      <c r="BA21" s="135">
        <f t="shared" ref="BA21" si="9">COUNTIF(BB21:BS21,"=C")</f>
        <v>0</v>
      </c>
      <c r="BB21" s="132" t="str">
        <f t="shared" ref="BB21" si="10">IF($E22="H",IF(OR(LEFT(J21,1)="T",LEFT(J21,1)="R"),LEFT(J21,2),LEFT(J21,1)),"")</f>
        <v/>
      </c>
      <c r="BC21" s="132" t="str">
        <f t="shared" ref="BC21" si="11">IF($E22="H",IF(OR(LEFT(K21,1)="T",LEFT(K21,1)="R"),LEFT(K21,2),LEFT(K21,1)),"")</f>
        <v/>
      </c>
      <c r="BD21" s="132" t="str">
        <f t="shared" ref="BD21" si="12">IF($E22="H",IF(OR(LEFT(L21,1)="T",LEFT(L21,1)="R"),LEFT(L21,2),LEFT(L21,1)),"")</f>
        <v/>
      </c>
      <c r="BE21" s="132" t="str">
        <f t="shared" ref="BE21" si="13">IF($E22="H",IF(OR(LEFT(M21,1)="T",LEFT(M21,1)="R"),LEFT(M21,2),LEFT(M21,1)),"")</f>
        <v/>
      </c>
      <c r="BF21" s="132" t="str">
        <f t="shared" ref="BF21" si="14">IF($E22="H",IF(OR(LEFT(N21,1)="T",LEFT(N21,1)="R"),LEFT(N21,2),LEFT(N21,1)),"")</f>
        <v/>
      </c>
      <c r="BG21" s="132" t="str">
        <f t="shared" ref="BG21" si="15">IF($E22="H",IF(OR(LEFT(O21,1)="T",LEFT(O21,1)="R"),LEFT(O21,2),LEFT(O21,1)),"")</f>
        <v/>
      </c>
      <c r="BH21" s="132" t="str">
        <f t="shared" ref="BH21" si="16">IF($E22="H",IF(OR(LEFT(P21,1)="T",LEFT(P21,1)="R"),LEFT(P21,2),LEFT(P21,1)),"")</f>
        <v/>
      </c>
      <c r="BI21" s="132" t="str">
        <f t="shared" ref="BI21" si="17">IF($E22="H",IF(OR(LEFT(Q21,1)="T",LEFT(Q21,1)="R"),LEFT(Q21,2),LEFT(Q21,1)),"")</f>
        <v/>
      </c>
      <c r="BJ21" s="132" t="str">
        <f t="shared" ref="BJ21" si="18">IF($E22="H",IF(OR(LEFT(R21,1)="T",LEFT(R21,1)="R"),LEFT(R21,2),LEFT(R21,1)),"")</f>
        <v/>
      </c>
      <c r="BK21" s="132" t="str">
        <f t="shared" ref="BK21" si="19">IF($E22="H",IF(OR(LEFT(S21,1)="T",LEFT(S21,1)="R"),LEFT(S21,2),LEFT(S21,1)),"")</f>
        <v/>
      </c>
      <c r="BL21" s="132" t="str">
        <f t="shared" ref="BL21" si="20">IF($E22="H",IF(OR(LEFT(T21,1)="T",LEFT(T21,1)="R"),LEFT(T21,2),LEFT(T21,1)),"")</f>
        <v/>
      </c>
      <c r="BM21" s="132" t="str">
        <f t="shared" ref="BM21" si="21">IF($E22="H",IF(OR(LEFT(U21,1)="T",LEFT(U21,1)="R"),LEFT(U21,2),LEFT(U21,1)),"")</f>
        <v/>
      </c>
      <c r="BN21" s="132" t="str">
        <f t="shared" ref="BN21" si="22">IF($E22="H",IF(OR(LEFT(V21,1)="T",LEFT(V21,1)="R"),LEFT(V21,2),LEFT(V21,1)),"")</f>
        <v/>
      </c>
      <c r="BO21" s="132" t="str">
        <f t="shared" ref="BO21" si="23">IF($E22="H",IF(OR(LEFT(W21,1)="T",LEFT(W21,1)="R"),LEFT(W21,2),LEFT(W21,1)),"")</f>
        <v/>
      </c>
      <c r="BP21" s="132" t="str">
        <f t="shared" ref="BP21" si="24">IF($E22="H",IF(OR(LEFT(X21,1)="T",LEFT(X21,1)="R"),LEFT(X21,2),LEFT(X21,1)),"")</f>
        <v/>
      </c>
      <c r="BQ21" s="132" t="str">
        <f t="shared" ref="BQ21" si="25">IF($E22="H",IF(OR(LEFT(Y21,1)="T",LEFT(Y21,1)="R"),LEFT(Y21,2),LEFT(Y21,1)),"")</f>
        <v/>
      </c>
      <c r="BR21" s="132" t="str">
        <f t="shared" ref="BR21" si="26">IF($E22="H",IF(OR(LEFT(Z21,1)="T",LEFT(Z21,1)="R"),LEFT(Z21,2),LEFT(Z21,1)),"")</f>
        <v/>
      </c>
      <c r="BS21" s="132" t="str">
        <f t="shared" ref="BS21" si="27">IF($E22="H",IF(OR(LEFT(AA21,1)="T",LEFT(AA21,1)="R"),LEFT(AA21,2),LEFT(AA21,1)),"")</f>
        <v/>
      </c>
      <c r="BU21" s="144" t="str">
        <f t="shared" ref="BU21" si="28">IF(OR(LEFT(AB21,2)="PL",LEFT(AC21,2)="PL",LEFT(AD21,2)="PL",LEFT(AE21,2)="PL",LEFT(AF21,2)="PL"),IF($AS$17-AR21&gt;$BU$17,"X",""),"")</f>
        <v/>
      </c>
      <c r="BV21" s="144"/>
      <c r="BW21" s="135">
        <f t="shared" ref="BW21" si="29">IF(COUNTIF(BY21:CC21,BY21)&gt;1,1,IF(COUNTIF(BY21:CC21,BZ21)&gt;1,2,IF(COUNTIF(BY21:CC21,CA21)&gt;1,3,IF(COUNTIF(BY21:CC21,CB21)&gt;1,4,IF(COUNTIF(BY21:CC21,CC21)&gt;1,5,"")))))</f>
        <v>1</v>
      </c>
      <c r="BX21" s="135">
        <f t="shared" ref="BX21" si="30">IF(COUNTIF(BY21:CC21,CC21)&gt;1,5,IF(COUNTIF(BY21:CC21,CB21)&gt;1,4,IF(COUNTIF(BY21:CC21,CA21)&gt;1,3,IF(COUNTIF(BY21:CC21,BZ21)&gt;1,2,IF(COUNTIF(BY21:CC21,BY21)&gt;1,1,"")))))</f>
        <v>5</v>
      </c>
      <c r="BY21" s="132" t="str">
        <f t="shared" ref="BY21" si="31">IFERROR(IF($E22="H",IF(AB21="",BY$18,IF(ISNUMBER(_xlfn.NUMBERVALUE(LEFT(AB21,1))),MID(AB21,2,2),LEFT(AB21,2))),""),"")</f>
        <v/>
      </c>
      <c r="BZ21" s="132" t="str">
        <f t="shared" ref="BZ21" si="32">IFERROR(IF($E22="H",IF(AC21="",BZ$18,IF(ISNUMBER(_xlfn.NUMBERVALUE(LEFT(AC21,1))),MID(AC21,2,2),LEFT(AC21,2))),""),"")</f>
        <v/>
      </c>
      <c r="CA21" s="132" t="str">
        <f t="shared" ref="CA21" si="33">IFERROR(IF($E22="H",IF(AD21="",CA$18,IF(ISNUMBER(_xlfn.NUMBERVALUE(LEFT(AD21,1))),MID(AD21,2,2),LEFT(AD21,2))),""),"")</f>
        <v/>
      </c>
      <c r="CB21" s="132" t="str">
        <f t="shared" ref="CB21" si="34">IFERROR(IF($E22="H",IF(AE21="",CB$18,IF(ISNUMBER(_xlfn.NUMBERVALUE(LEFT(AE21,1))),MID(AE21,2,2),LEFT(AE21,2))),""),"")</f>
        <v/>
      </c>
      <c r="CC21" s="132" t="str">
        <f t="shared" ref="CC21" si="35">IFERROR(IF($E22="H",IF(AF21="",CC$18,IF(ISNUMBER(_xlfn.NUMBERVALUE(LEFT(AF21,1))),MID(AF21,2,2),LEFT(AF21,2))),""),"")</f>
        <v/>
      </c>
      <c r="CE21" s="135" t="str">
        <f t="shared" ref="CE21" si="36">IF(E22=3,_xlfn.NUMBERVALUE(LEFT(J21,1)),"")</f>
        <v/>
      </c>
    </row>
    <row r="22" spans="1:83" ht="12.95" x14ac:dyDescent="0.2">
      <c r="A22" s="42"/>
      <c r="B22" s="43"/>
      <c r="C22" s="43"/>
      <c r="D22" s="43"/>
      <c r="E22" s="21" t="str">
        <f t="shared" ref="E22" si="37">IF(F21="Acrobatic","PA",IF(F21="Acrobatic Airborn","A",IF(F21="Acrobatic Balance","B",IF(F21="Acrobatic Combined","C",IF(F21="Acrobatic Platform","P",IF(F21="Technical Required Element",3,IF(LEFT(F21,4)="Hybr","H","")))))))</f>
        <v/>
      </c>
      <c r="F22" s="21" t="str">
        <f>IF(OR(F21="Acrobatic Airborn",F21="Acrobatic Balance",F21="Acrobatic Combined",F21="Acrobatic Platform"),"Acrobatic",IF(AND(F21="Hybrid - Thrust",AU21="X"),"Hybrid - Thrust - X",IF(AND(F21="Hybrid - 720",AU21="X"),"Hybrid - 720 - X","")))</f>
        <v/>
      </c>
      <c r="G22" s="45"/>
      <c r="H22" s="68" t="str">
        <f t="shared" si="2"/>
        <v/>
      </c>
      <c r="I22" s="69"/>
      <c r="J22" s="16">
        <f>IFERROR(IF($E22="",0,IF(AND($E22="H",$F$8&lt;&gt;"Acrobatic"),VLOOKUP(J21,HybridDDX,2,FALSE),IF($E22="PA",VLOOKUP(J21,AcroPairDDX,2,FALSE),IF(OR($E22="A",$E22="B",$E22="C",$E22="P"),0,IF($E22=3,VLOOKUP(J21,TreDDX,2,FALSE),0))))),0)</f>
        <v>0</v>
      </c>
      <c r="K22" s="16">
        <f>IFERROR(IF($E22="",0,IF(AND($E22="H",$F$8&lt;&gt;"Acrobatic"),VLOOKUP(K21,HybridDDX,2,FALSE),IF($E22="PA",0,IF($E22="A",SUMPRODUCT(--EXACT(K21,AcroADD2),AcroADD2X),IF($E22="B",SUMPRODUCT(--EXACT(K21,AcroBDD2),AcroBDD2X),IF($E22="C",SUMPRODUCT(--EXACT(K21,AcroCDD2),AcroCDD2X),IF($E22="P",SUMPRODUCT(--EXACT(K21,AcroPDD2),AcroPDD2X),IF($E22=3,0,0)))))))),0)</f>
        <v>0</v>
      </c>
      <c r="L22" s="16">
        <f t="array" ref="L22">IFERROR(IF($E22="",0,IF(AND($E22="H",$F$8&lt;&gt;"Acrobatic"),VLOOKUP(L21,HybridDDX,2,FALSE),IF($E22="PA",0,IF($E22="A",SUMPRODUCT(--EXACT(L21,AcroADD3),AcroADD3X),IF($E22="B",SUMPRODUCT(--EXACT(CONCATENATE(LEN(L21),L21),AcroBDD3W),AcroBDD3X),IF($E22="C",SUMPRODUCT(--EXACT(L21,AcroCDD3),AcroCDD3X),IF($E22="P",SUMPRODUCT(--EXACT(L21,AcroPDD3),AcroPDD3X),IF($E22=3,0,0)))))))),0)</f>
        <v>0</v>
      </c>
      <c r="M22" s="16">
        <f>IFERROR(IF($E22="",0,IF(AND($E22="H",$F$8&lt;&gt;"Acrobatic"),VLOOKUP(M21,HybridDDX,2,FALSE),IF($E22="PA",0,IF($E22="A",SUMPRODUCT(--EXACT(M21,AcroADD4p1),AcroADD4p1X),IF($E22="B",SUMPRODUCT(--EXACT(M21,AcroBDD4p1),AcroBDD4p1X),IF($E22="C",SUMPRODUCT(--EXACT(M21,AcroCDD4p1),AcroCDD4p1X),IF($E22="P",SUMPRODUCT(--EXACT(M21,AcroPDD4p1),AcroPDD4p1X),IF($E22=3,0,0)))))))),0)</f>
        <v>0</v>
      </c>
      <c r="N22" s="16">
        <f>IFERROR(IF($E22="",0,IF(AND($E22="H",$F$8&lt;&gt;"Acrobatic"),VLOOKUP(N21,HybridDDX,2,FALSE),IF($E22="PA",0,IF($E22="A",SUMPRODUCT(--EXACT(N21,AcroADD4p2),AcroADD4p2X),IF($E22="B",SUMPRODUCT(--EXACT(N21,AcroBDD4p2),AcroBDD4p2X),IF($E22="C",SUMPRODUCT(--EXACT(N21,AcroCDD4p2),AcroCDD4p2X),IF($E22="P",SUMPRODUCT(--EXACT(N21,AcroPDD4p2),AcroPDD4p2X),IF($E22=3,0,0)))))))),0)</f>
        <v>0</v>
      </c>
      <c r="O22" s="16">
        <f>IFERROR(IF($E22="",0,IF(AND($E22="H",$F$8&lt;&gt;"Acrobatic"),VLOOKUP(O21,HybridDDX,2,FALSE),IF($E22="PA",0,IF($E22="A",SUMPRODUCT(--EXACT(O21,AcroADD5),AcroADD5X),IF($E22="B",SUMPRODUCT(--EXACT(O21,AcroBDD5),AcroBDD5X),IF($E22="C",SUMPRODUCT(--EXACT(O21,AcroCDD5),AcroCDD5X),IF($E22="P",SUMPRODUCT(--EXACT(O21,AcroPDD5),AcroPDD5X),IF($E22=3,0,0)))))))),0)</f>
        <v>0</v>
      </c>
      <c r="P22" s="16">
        <f>IFERROR(IF($E22="",0,IF(AND($E22="H",$F$8&lt;&gt;"Acrobatic"),VLOOKUP(P21,HybridDDX,2,FALSE),IF($E22="C",SUMPRODUCT(--EXACT(P21,AcroCDD6),AcroCDD6X),0))),0)</f>
        <v>0</v>
      </c>
      <c r="Q22" s="16">
        <f t="shared" ref="Q22:AA22" si="38">IFERROR(IF($E22="",0,IF(AND($E22="H",$F$8&lt;&gt;"Acrobatic"),VLOOKUP(Q21,HybridDDX,2,FALSE),0)),0)</f>
        <v>0</v>
      </c>
      <c r="R22" s="16">
        <f t="shared" si="38"/>
        <v>0</v>
      </c>
      <c r="S22" s="16">
        <f t="shared" si="38"/>
        <v>0</v>
      </c>
      <c r="T22" s="16">
        <f t="shared" si="38"/>
        <v>0</v>
      </c>
      <c r="U22" s="16">
        <f t="shared" si="38"/>
        <v>0</v>
      </c>
      <c r="V22" s="16">
        <f t="shared" si="38"/>
        <v>0</v>
      </c>
      <c r="W22" s="16">
        <f t="shared" si="38"/>
        <v>0</v>
      </c>
      <c r="X22" s="16">
        <f t="shared" si="38"/>
        <v>0</v>
      </c>
      <c r="Y22" s="16">
        <f t="shared" si="38"/>
        <v>0</v>
      </c>
      <c r="Z22" s="16">
        <f t="shared" si="38"/>
        <v>0</v>
      </c>
      <c r="AA22" s="16">
        <f t="shared" si="38"/>
        <v>0</v>
      </c>
      <c r="AB22" s="28">
        <f>IFERROR(IF($E22="",0,IF(AND($E22="H",$F$8&lt;&gt;"Acrobatic"),VLOOKUP(AB21,BonusDDX,2,FALSE),IF($E22="A",VLOOKUP(AB21,AcroABonusX,2,FALSE),IF($E22="B",VLOOKUP(AB21,AcroBBonusX,2,FALSE),IF($E22="C",VLOOKUP(AB21,AcroCBonusX,2,FALSE),IF($E22="P",VLOOKUP(AB21,AcroPBonusX,2,FALSE),0)))))),0)</f>
        <v>0</v>
      </c>
      <c r="AC22" s="16">
        <f>IFERROR(IF($E22="",0,IF(AND($E22="H",$F$8&lt;&gt;"Acrobatic"),VLOOKUP(AC21,BonusDDX,2,FALSE),IF($E22="A",VLOOKUP(AC21,AcroABonusX,2,FALSE),IF($E22="B",VLOOKUP(AC21,AcroBBonusX,2,FALSE),IF($E22="C",VLOOKUP(AC21,AcroCBonusX,2,FALSE),IF($E22="P",VLOOKUP(AC21,AcroPBonusX,2,FALSE),0)))))),0)</f>
        <v>0</v>
      </c>
      <c r="AD22" s="16">
        <f>IFERROR(IF($E22="",0,IF(AND($E22="H",$F$8&lt;&gt;"Acrobatic"),VLOOKUP(AD21,BonusDDX,2,FALSE),0)),0)</f>
        <v>0</v>
      </c>
      <c r="AE22" s="16">
        <f>IFERROR(IF($E22="",0,IF(AND($E22="H",$F$8&lt;&gt;"Acrobatic"),VLOOKUP(AE21,BonusDDX,2,FALSE),0)),0)</f>
        <v>0</v>
      </c>
      <c r="AF22" s="46">
        <f>IFERROR(IF($E22="",0,IF(AND($E22="H",$F$8&lt;&gt;"Acrobatic"),VLOOKUP(AF21,BonusDDX,2,FALSE),0)),0)</f>
        <v>0</v>
      </c>
      <c r="AG22" s="71">
        <f t="shared" ref="AG22" si="39">SUM(H22:AF22)</f>
        <v>0</v>
      </c>
      <c r="AH22" s="98"/>
      <c r="AI22" s="98"/>
      <c r="AJ22" s="145"/>
      <c r="AK22" s="145"/>
      <c r="AL22" s="145"/>
      <c r="AM22" s="145"/>
      <c r="AN22" s="145"/>
      <c r="AO22" s="145"/>
      <c r="AP22" s="145"/>
      <c r="AQ22" s="145"/>
      <c r="AR22" s="146" t="str">
        <f>IFERROR(IF($N$7="X",IF(AND(E22="C",AG22&gt;2.45),"X",IF(AND(E22="A",AG22&gt;2.65),"X",IF(AND(E22="B",AG22&gt;2.6),"X",IF(AND(E22="P",AG22&gt;2.5),"X","")))),""),"")</f>
        <v/>
      </c>
      <c r="AS22" s="138"/>
      <c r="AU22" s="132"/>
    </row>
    <row r="23" spans="1:83" ht="12.95" x14ac:dyDescent="0.2">
      <c r="A23" s="42" t="str">
        <f t="shared" ref="A23" si="40">IF(AND(E21="",A21&lt;&gt;""),IF(AS21=$AS$18,"",IF(C21&lt;&gt;"",IF(D21=59,MINUTE(AS21)+1,MINUTE(AS21)),"")),"")</f>
        <v/>
      </c>
      <c r="B23" s="43" t="str">
        <f t="shared" ref="B23" si="41">IF(AND(E21="",B21&lt;&gt;""),IF(AS21=$AS$18,"",IF(C21&lt;&gt;"",IF(D21=59,0,SECOND(AS21)+1),"")),"")</f>
        <v/>
      </c>
      <c r="C23" s="54"/>
      <c r="D23" s="54"/>
      <c r="E23" s="9"/>
      <c r="F23" s="55"/>
      <c r="G23" s="45" t="str">
        <f>IF(F23&lt;&gt;"",IF(OR(F23="Transition",F23="Connected Surface Movment",F23="Cadense"),0,MAX($G$19:G22)+1),"")</f>
        <v/>
      </c>
      <c r="H23" s="68" t="str">
        <f t="shared" ref="H23" si="42">IF(E24=3,"",IF(E24="H","BM",IF(E24="PA",IF(OR(LEFT(J23,1)="L",LEFT(J23,1)="S"),"A-Pair-Lift",IF(OR(LEFT(J23,1)="W",LEFT(J23,1)="T"),"A-Pair-Throw",IF(LEFT(J23,1)="J","A-Pair-Jump","A-Pair"))),IF(OR(E24="A",E24="B",E24="C",E24="P"),CONCATENATE("Acro-",J23),""))))</f>
        <v/>
      </c>
      <c r="I23" s="69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6"/>
      <c r="AC23" s="161"/>
      <c r="AD23" s="161"/>
      <c r="AE23" s="161"/>
      <c r="AF23" s="167"/>
      <c r="AG23" s="47"/>
      <c r="AH23" s="97"/>
      <c r="AI23" s="97"/>
      <c r="AJ23" s="134"/>
      <c r="AK23" s="134"/>
      <c r="AL23" s="134"/>
      <c r="AM23" s="134"/>
      <c r="AN23" s="134"/>
      <c r="AO23" s="134"/>
      <c r="AP23" s="134"/>
      <c r="AQ23" s="134"/>
      <c r="AR23" s="137" t="str">
        <f>IFERROR(TIME(0,A23,B23),"")</f>
        <v/>
      </c>
      <c r="AS23" s="138">
        <f>IFERROR(TIME(0,C23,D23),"")</f>
        <v>0</v>
      </c>
      <c r="AU23" s="132" t="str">
        <f>IF(AND(F23="Hybrid - Thrust",OR(LEFT(J23,1)="T",LEFT(K23,1)="T",LEFT(L23,1)="T",LEFT(JX23,1)="T",LEFT(M23,1)="T",LEFT(N23,1)="T",LEFT(O23,1)="T",LEFT(P23,1)="T",LEFT(Q23,1)="T",LEFT(R23,1)="T",LEFT(S23,1)="T",LEFT(T23,1)="T",LEFT(U23,1)="T",LEFT(V23,1)="T",LEFT(W23,1)="T",LEFT(X23,1)="T",LEFT(Y23,1)="T",LEFT(Z23,1)="T",LEFT(AA23,1)="T")),IF(OR(LEN(J23)=2,LEN(K23)=2,LEN(L23)=2,LEN(M23)=2,LEN(N23)=2,LEN(O23)=2,LEN(P23)=2,LEN(Q23)=2,LEN(R23)=2,LEN(S23)=2,LEN(T23)=2,LEN(U23)=2,LEN(V23)=2,LEN(W23)=2,LEN(X23)=2,LEN(Y23)=2,LEN(Z23)=2,LEN(AA23)=2),"X",""),IF(AND(F23="Hybrid - 720",OR(J23="R3",K23="R3",L23="R3",M23="R3",N23="R3",O23="R3",P23="R3",Q23="R3",R23="R3",S23="R3",T23="R3",U23="R3",V23="R3",W23="R3",X23="R3",Y23="R3",Z23="R3",AA23="R3")),"X",""))</f>
        <v/>
      </c>
      <c r="AW23" s="135">
        <f t="shared" ref="AW23" si="43">COUNTIF(BB23:BS23,"=T1")+COUNTIF(BB23:BS23,"=T2")+COUNTIF(BB23:BS23,"=T3")+COUNTIF(BB23:BS23,"=T4")</f>
        <v>0</v>
      </c>
      <c r="AX23" s="135">
        <f t="shared" ref="AX23" si="44">COUNTIF(BB23:BS23,"=r1")+COUNTIF(BB23:BS23,"=r2")+COUNTIF(BB23:BS23,"=r3")+COUNTIF(BB23:BS23,"=r4")</f>
        <v>0</v>
      </c>
      <c r="AY23" s="135">
        <f t="shared" ref="AY23" si="45">COUNTIF(BB23:BS23,"=A")</f>
        <v>0</v>
      </c>
      <c r="AZ23" s="135">
        <f t="shared" ref="AZ23" si="46">COUNTIF(BB23:BS23,"=F")</f>
        <v>0</v>
      </c>
      <c r="BA23" s="135">
        <f t="shared" ref="BA23" si="47">COUNTIF(BB23:BS23,"=C")</f>
        <v>0</v>
      </c>
      <c r="BB23" s="132" t="str">
        <f t="shared" ref="BB23" si="48">IF($E24="H",IF(OR(LEFT(J23,1)="T",LEFT(J23,1)="R"),LEFT(J23,2),LEFT(J23,1)),"")</f>
        <v/>
      </c>
      <c r="BC23" s="132" t="str">
        <f t="shared" ref="BC23" si="49">IF($E24="H",IF(OR(LEFT(K23,1)="T",LEFT(K23,1)="R"),LEFT(K23,2),LEFT(K23,1)),"")</f>
        <v/>
      </c>
      <c r="BD23" s="132" t="str">
        <f t="shared" ref="BD23" si="50">IF($E24="H",IF(OR(LEFT(L23,1)="T",LEFT(L23,1)="R"),LEFT(L23,2),LEFT(L23,1)),"")</f>
        <v/>
      </c>
      <c r="BE23" s="132" t="str">
        <f t="shared" ref="BE23" si="51">IF($E24="H",IF(OR(LEFT(M23,1)="T",LEFT(M23,1)="R"),LEFT(M23,2),LEFT(M23,1)),"")</f>
        <v/>
      </c>
      <c r="BF23" s="132" t="str">
        <f t="shared" ref="BF23" si="52">IF($E24="H",IF(OR(LEFT(N23,1)="T",LEFT(N23,1)="R"),LEFT(N23,2),LEFT(N23,1)),"")</f>
        <v/>
      </c>
      <c r="BG23" s="132" t="str">
        <f t="shared" ref="BG23" si="53">IF($E24="H",IF(OR(LEFT(O23,1)="T",LEFT(O23,1)="R"),LEFT(O23,2),LEFT(O23,1)),"")</f>
        <v/>
      </c>
      <c r="BH23" s="132" t="str">
        <f t="shared" ref="BH23" si="54">IF($E24="H",IF(OR(LEFT(P23,1)="T",LEFT(P23,1)="R"),LEFT(P23,2),LEFT(P23,1)),"")</f>
        <v/>
      </c>
      <c r="BI23" s="132" t="str">
        <f t="shared" ref="BI23" si="55">IF($E24="H",IF(OR(LEFT(Q23,1)="T",LEFT(Q23,1)="R"),LEFT(Q23,2),LEFT(Q23,1)),"")</f>
        <v/>
      </c>
      <c r="BJ23" s="132" t="str">
        <f t="shared" ref="BJ23" si="56">IF($E24="H",IF(OR(LEFT(R23,1)="T",LEFT(R23,1)="R"),LEFT(R23,2),LEFT(R23,1)),"")</f>
        <v/>
      </c>
      <c r="BK23" s="132" t="str">
        <f t="shared" ref="BK23" si="57">IF($E24="H",IF(OR(LEFT(S23,1)="T",LEFT(S23,1)="R"),LEFT(S23,2),LEFT(S23,1)),"")</f>
        <v/>
      </c>
      <c r="BL23" s="132" t="str">
        <f t="shared" ref="BL23" si="58">IF($E24="H",IF(OR(LEFT(T23,1)="T",LEFT(T23,1)="R"),LEFT(T23,2),LEFT(T23,1)),"")</f>
        <v/>
      </c>
      <c r="BM23" s="132" t="str">
        <f t="shared" ref="BM23" si="59">IF($E24="H",IF(OR(LEFT(U23,1)="T",LEFT(U23,1)="R"),LEFT(U23,2),LEFT(U23,1)),"")</f>
        <v/>
      </c>
      <c r="BN23" s="132" t="str">
        <f t="shared" ref="BN23" si="60">IF($E24="H",IF(OR(LEFT(V23,1)="T",LEFT(V23,1)="R"),LEFT(V23,2),LEFT(V23,1)),"")</f>
        <v/>
      </c>
      <c r="BO23" s="132" t="str">
        <f t="shared" ref="BO23" si="61">IF($E24="H",IF(OR(LEFT(W23,1)="T",LEFT(W23,1)="R"),LEFT(W23,2),LEFT(W23,1)),"")</f>
        <v/>
      </c>
      <c r="BP23" s="132" t="str">
        <f t="shared" ref="BP23" si="62">IF($E24="H",IF(OR(LEFT(X23,1)="T",LEFT(X23,1)="R"),LEFT(X23,2),LEFT(X23,1)),"")</f>
        <v/>
      </c>
      <c r="BQ23" s="132" t="str">
        <f t="shared" ref="BQ23" si="63">IF($E24="H",IF(OR(LEFT(Y23,1)="T",LEFT(Y23,1)="R"),LEFT(Y23,2),LEFT(Y23,1)),"")</f>
        <v/>
      </c>
      <c r="BR23" s="132" t="str">
        <f t="shared" ref="BR23" si="64">IF($E24="H",IF(OR(LEFT(Z23,1)="T",LEFT(Z23,1)="R"),LEFT(Z23,2),LEFT(Z23,1)),"")</f>
        <v/>
      </c>
      <c r="BS23" s="132" t="str">
        <f t="shared" ref="BS23" si="65">IF($E24="H",IF(OR(LEFT(AA23,1)="T",LEFT(AA23,1)="R"),LEFT(AA23,2),LEFT(AA23,1)),"")</f>
        <v/>
      </c>
      <c r="BU23" s="144" t="str">
        <f t="shared" ref="BU23" si="66">IF(OR(LEFT(AB23,2)="PL",LEFT(AC23,2)="PL",LEFT(AD23,2)="PL",LEFT(AE23,2)="PL",LEFT(AF23,2)="PL"),IF($AS$17-AR23&gt;$BU$17,"X",""),"")</f>
        <v/>
      </c>
      <c r="BV23" s="144"/>
      <c r="BW23" s="135">
        <f t="shared" ref="BW23" si="67">IF(COUNTIF(BY23:CC23,BY23)&gt;1,1,IF(COUNTIF(BY23:CC23,BZ23)&gt;1,2,IF(COUNTIF(BY23:CC23,CA23)&gt;1,3,IF(COUNTIF(BY23:CC23,CB23)&gt;1,4,IF(COUNTIF(BY23:CC23,CC23)&gt;1,5,"")))))</f>
        <v>1</v>
      </c>
      <c r="BX23" s="135">
        <f t="shared" ref="BX23" si="68">IF(COUNTIF(BY23:CC23,CC23)&gt;1,5,IF(COUNTIF(BY23:CC23,CB23)&gt;1,4,IF(COUNTIF(BY23:CC23,CA23)&gt;1,3,IF(COUNTIF(BY23:CC23,BZ23)&gt;1,2,IF(COUNTIF(BY23:CC23,BY23)&gt;1,1,"")))))</f>
        <v>5</v>
      </c>
      <c r="BY23" s="132" t="str">
        <f t="shared" ref="BY23" si="69">IFERROR(IF($E24="H",IF(AB23="",BY$18,IF(ISNUMBER(_xlfn.NUMBERVALUE(LEFT(AB23,1))),MID(AB23,2,2),LEFT(AB23,2))),""),"")</f>
        <v/>
      </c>
      <c r="BZ23" s="132" t="str">
        <f t="shared" ref="BZ23" si="70">IFERROR(IF($E24="H",IF(AC23="",BZ$18,IF(ISNUMBER(_xlfn.NUMBERVALUE(LEFT(AC23,1))),MID(AC23,2,2),LEFT(AC23,2))),""),"")</f>
        <v/>
      </c>
      <c r="CA23" s="132" t="str">
        <f t="shared" ref="CA23" si="71">IFERROR(IF($E24="H",IF(AD23="",CA$18,IF(ISNUMBER(_xlfn.NUMBERVALUE(LEFT(AD23,1))),MID(AD23,2,2),LEFT(AD23,2))),""),"")</f>
        <v/>
      </c>
      <c r="CB23" s="132" t="str">
        <f t="shared" ref="CB23" si="72">IFERROR(IF($E24="H",IF(AE23="",CB$18,IF(ISNUMBER(_xlfn.NUMBERVALUE(LEFT(AE23,1))),MID(AE23,2,2),LEFT(AE23,2))),""),"")</f>
        <v/>
      </c>
      <c r="CC23" s="132" t="str">
        <f t="shared" ref="CC23" si="73">IFERROR(IF($E24="H",IF(AF23="",CC$18,IF(ISNUMBER(_xlfn.NUMBERVALUE(LEFT(AF23,1))),MID(AF23,2,2),LEFT(AF23,2))),""),"")</f>
        <v/>
      </c>
      <c r="CE23" s="135" t="str">
        <f t="shared" ref="CE23" si="74">IF(E24=3,_xlfn.NUMBERVALUE(LEFT(J23,1)),"")</f>
        <v/>
      </c>
    </row>
    <row r="24" spans="1:83" ht="12.95" x14ac:dyDescent="0.2">
      <c r="A24" s="42"/>
      <c r="B24" s="43"/>
      <c r="C24" s="43"/>
      <c r="D24" s="43"/>
      <c r="E24" s="21" t="str">
        <f t="shared" ref="E24" si="75">IF(F23="Acrobatic","PA",IF(F23="Acrobatic Airborn","A",IF(F23="Acrobatic Balance","B",IF(F23="Acrobatic Combined","C",IF(F23="Acrobatic Platform","P",IF(F23="Technical Required Element",3,IF(LEFT(F23,4)="Hybr","H","")))))))</f>
        <v/>
      </c>
      <c r="F24" s="21" t="str">
        <f>IF(OR(F23="Acrobatic Airborn",F23="Acrobatic Balance",F23="Acrobatic Combined",F23="Acrobatic Platform"),"Acrobatic",IF(AND(F23="Hybrid - Thrust",AU23="X"),"Hybrid - Thrust - X",IF(AND(F23="Hybrid - 720",AU23="X"),"Hybrid - 720 - X","")))</f>
        <v/>
      </c>
      <c r="G24" s="45"/>
      <c r="H24" s="68" t="str">
        <f t="shared" si="2"/>
        <v/>
      </c>
      <c r="I24" s="69"/>
      <c r="J24" s="16">
        <f>IFERROR(IF($E24="",0,IF(AND($E24="H",$F$8&lt;&gt;"Acrobatic"),VLOOKUP(J23,HybridDDX,2,FALSE),IF($E24="PA",VLOOKUP(J23,AcroPairDDX,2,FALSE),IF(OR($E24="A",$E24="B",$E24="C",$E24="P"),0,IF($E24=3,VLOOKUP(J23,TreDDX,2,FALSE),0))))),0)</f>
        <v>0</v>
      </c>
      <c r="K24" s="16">
        <f>IFERROR(IF($E24="",0,IF(AND($E24="H",$F$8&lt;&gt;"Acrobatic"),VLOOKUP(K23,HybridDDX,2,FALSE),IF($E24="PA",0,IF($E24="A",SUMPRODUCT(--EXACT(K23,AcroADD2),AcroADD2X),IF($E24="B",SUMPRODUCT(--EXACT(K23,AcroBDD2),AcroBDD2X),IF($E24="C",SUMPRODUCT(--EXACT(K23,AcroCDD2),AcroCDD2X),IF($E24="P",SUMPRODUCT(--EXACT(K23,AcroPDD2),AcroPDD2X),IF($E24=3,0,0)))))))),0)</f>
        <v>0</v>
      </c>
      <c r="L24" s="16">
        <f t="array" ref="L24">IFERROR(IF($E24="",0,IF(AND($E24="H",$F$8&lt;&gt;"Acrobatic"),VLOOKUP(L23,HybridDDX,2,FALSE),IF($E24="PA",0,IF($E24="A",SUMPRODUCT(--EXACT(L23,AcroADD3),AcroADD3X),IF($E24="B",SUMPRODUCT(--EXACT(CONCATENATE(LEN(L23),L23),AcroBDD3W),AcroBDD3X),IF($E24="C",SUMPRODUCT(--EXACT(L23,AcroCDD3),AcroCDD3X),IF($E24="P",SUMPRODUCT(--EXACT(L23,AcroPDD3),AcroPDD3X),IF($E24=3,0,0)))))))),0)</f>
        <v>0</v>
      </c>
      <c r="M24" s="16">
        <f>IFERROR(IF($E24="",0,IF(AND($E24="H",$F$8&lt;&gt;"Acrobatic"),VLOOKUP(M23,HybridDDX,2,FALSE),IF($E24="PA",0,IF($E24="A",SUMPRODUCT(--EXACT(M23,AcroADD4p1),AcroADD4p1X),IF($E24="B",SUMPRODUCT(--EXACT(M23,AcroBDD4p1),AcroBDD4p1X),IF($E24="C",SUMPRODUCT(--EXACT(M23,AcroCDD4p1),AcroCDD4p1X),IF($E24="P",SUMPRODUCT(--EXACT(M23,AcroPDD4p1),AcroPDD4p1X),IF($E24=3,0,0)))))))),0)</f>
        <v>0</v>
      </c>
      <c r="N24" s="16">
        <f>IFERROR(IF($E24="",0,IF(AND($E24="H",$F$8&lt;&gt;"Acrobatic"),VLOOKUP(N23,HybridDDX,2,FALSE),IF($E24="PA",0,IF($E24="A",SUMPRODUCT(--EXACT(N23,AcroADD4p2),AcroADD4p2X),IF($E24="B",SUMPRODUCT(--EXACT(N23,AcroBDD4p2),AcroBDD4p2X),IF($E24="C",SUMPRODUCT(--EXACT(N23,AcroCDD4p2),AcroCDD4p2X),IF($E24="P",SUMPRODUCT(--EXACT(N23,AcroPDD4p2),AcroPDD4p2X),IF($E24=3,0,0)))))))),0)</f>
        <v>0</v>
      </c>
      <c r="O24" s="16">
        <f>IFERROR(IF($E24="",0,IF(AND($E24="H",$F$8&lt;&gt;"Acrobatic"),VLOOKUP(O23,HybridDDX,2,FALSE),IF($E24="PA",0,IF($E24="A",SUMPRODUCT(--EXACT(O23,AcroADD5),AcroADD5X),IF($E24="B",SUMPRODUCT(--EXACT(O23,AcroBDD5),AcroBDD5X),IF($E24="C",SUMPRODUCT(--EXACT(O23,AcroCDD5),AcroCDD5X),IF($E24="P",SUMPRODUCT(--EXACT(O23,AcroPDD5),AcroPDD5X),IF($E24=3,0,0)))))))),0)</f>
        <v>0</v>
      </c>
      <c r="P24" s="16">
        <f>IFERROR(IF($E24="",0,IF(AND($E24="H",$F$8&lt;&gt;"Acrobatic"),VLOOKUP(P23,HybridDDX,2,FALSE),IF($E24="C",SUMPRODUCT(--EXACT(P23,AcroCDD6),AcroCDD6X),0))),0)</f>
        <v>0</v>
      </c>
      <c r="Q24" s="16">
        <f t="shared" ref="Q24:AA24" si="76">IFERROR(IF($E24="",0,IF(AND($E24="H",$F$8&lt;&gt;"Acrobatic"),VLOOKUP(Q23,HybridDDX,2,FALSE),0)),0)</f>
        <v>0</v>
      </c>
      <c r="R24" s="16">
        <f t="shared" si="76"/>
        <v>0</v>
      </c>
      <c r="S24" s="16">
        <f t="shared" si="76"/>
        <v>0</v>
      </c>
      <c r="T24" s="16">
        <f t="shared" si="76"/>
        <v>0</v>
      </c>
      <c r="U24" s="16">
        <f t="shared" si="76"/>
        <v>0</v>
      </c>
      <c r="V24" s="16">
        <f t="shared" si="76"/>
        <v>0</v>
      </c>
      <c r="W24" s="16">
        <f t="shared" si="76"/>
        <v>0</v>
      </c>
      <c r="X24" s="16">
        <f t="shared" si="76"/>
        <v>0</v>
      </c>
      <c r="Y24" s="16">
        <f t="shared" si="76"/>
        <v>0</v>
      </c>
      <c r="Z24" s="16">
        <f t="shared" si="76"/>
        <v>0</v>
      </c>
      <c r="AA24" s="16">
        <f t="shared" si="76"/>
        <v>0</v>
      </c>
      <c r="AB24" s="28">
        <f>IFERROR(IF($E24="",0,IF(AND($E24="H",$F$8&lt;&gt;"Acrobatic"),VLOOKUP(AB23,BonusDDX,2,FALSE),IF($E24="A",VLOOKUP(AB23,AcroABonusX,2,FALSE),IF($E24="B",VLOOKUP(AB23,AcroBBonusX,2,FALSE),IF($E24="C",VLOOKUP(AB23,AcroCBonusX,2,FALSE),IF($E24="P",VLOOKUP(AB23,AcroPBonusX,2,FALSE),0)))))),0)</f>
        <v>0</v>
      </c>
      <c r="AC24" s="16">
        <f>IFERROR(IF($E24="",0,IF(AND($E24="H",$F$8&lt;&gt;"Acrobatic"),VLOOKUP(AC23,BonusDDX,2,FALSE),IF($E24="A",VLOOKUP(AC23,AcroABonusX,2,FALSE),IF($E24="B",VLOOKUP(AC23,AcroBBonusX,2,FALSE),IF($E24="C",VLOOKUP(AC23,AcroCBonusX,2,FALSE),IF($E24="P",VLOOKUP(AC23,AcroPBonusX,2,FALSE),0)))))),0)</f>
        <v>0</v>
      </c>
      <c r="AD24" s="16">
        <f>IFERROR(IF($E24="",0,IF(AND($E24="H",$F$8&lt;&gt;"Acrobatic"),VLOOKUP(AD23,BonusDDX,2,FALSE),0)),0)</f>
        <v>0</v>
      </c>
      <c r="AE24" s="16">
        <f>IFERROR(IF($E24="",0,IF(AND($E24="H",$F$8&lt;&gt;"Acrobatic"),VLOOKUP(AE23,BonusDDX,2,FALSE),0)),0)</f>
        <v>0</v>
      </c>
      <c r="AF24" s="46">
        <f>IFERROR(IF($E24="",0,IF(AND($E24="H",$F$8&lt;&gt;"Acrobatic"),VLOOKUP(AF23,BonusDDX,2,FALSE),0)),0)</f>
        <v>0</v>
      </c>
      <c r="AG24" s="71">
        <f t="shared" ref="AG24" si="77">SUM(H24:AF24)</f>
        <v>0</v>
      </c>
      <c r="AH24" s="98"/>
      <c r="AI24" s="98"/>
      <c r="AJ24" s="145"/>
      <c r="AK24" s="145"/>
      <c r="AL24" s="145"/>
      <c r="AM24" s="145"/>
      <c r="AN24" s="145"/>
      <c r="AO24" s="145"/>
      <c r="AP24" s="145"/>
      <c r="AQ24" s="145"/>
      <c r="AR24" s="146" t="str">
        <f>IFERROR(IF($N$7="X",IF(AND(E24="C",AG24&gt;2.45),"X",IF(AND(E24="A",AG24&gt;2.65),"X",IF(AND(E24="B",AG24&gt;2.6),"X",IF(AND(E24="P",AG24&gt;2.5),"X","")))),""),"")</f>
        <v/>
      </c>
      <c r="AS24" s="138"/>
      <c r="AU24" s="132"/>
    </row>
    <row r="25" spans="1:83" ht="12.95" x14ac:dyDescent="0.2">
      <c r="A25" s="42" t="str">
        <f t="shared" ref="A25" si="78">IF(AND(E23="",A23&lt;&gt;""),IF(AS23=$AS$18,"",IF(C23&lt;&gt;"",IF(D23=59,MINUTE(AS23)+1,MINUTE(AS23)),"")),"")</f>
        <v/>
      </c>
      <c r="B25" s="43" t="str">
        <f t="shared" ref="B25" si="79">IF(AND(E23="",B23&lt;&gt;""),IF(AS23=$AS$18,"",IF(C23&lt;&gt;"",IF(D23=59,0,SECOND(AS23)+1),"")),"")</f>
        <v/>
      </c>
      <c r="C25" s="54"/>
      <c r="D25" s="54"/>
      <c r="E25" s="9"/>
      <c r="F25" s="55"/>
      <c r="G25" s="45" t="str">
        <f>IF(F25&lt;&gt;"",IF(OR(F25="Transition",F25="Connected Surface Movment",F25="Cadense"),0,MAX($G$19:G24)+1),"")</f>
        <v/>
      </c>
      <c r="H25" s="68" t="str">
        <f t="shared" ref="H25" si="80">IF(E26=3,"",IF(E26="H","BM",IF(E26="PA",IF(OR(LEFT(J25,1)="L",LEFT(J25,1)="S"),"A-Pair-Lift",IF(OR(LEFT(J25,1)="W",LEFT(J25,1)="T"),"A-Pair-Throw",IF(LEFT(J25,1)="J","A-Pair-Jump","A-Pair"))),IF(OR(E26="A",E26="B",E26="C",E26="P"),CONCATENATE("Acro-",J25),""))))</f>
        <v/>
      </c>
      <c r="I25" s="69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6"/>
      <c r="AC25" s="161"/>
      <c r="AD25" s="161"/>
      <c r="AE25" s="161"/>
      <c r="AF25" s="167"/>
      <c r="AG25" s="47"/>
      <c r="AH25" s="97"/>
      <c r="AI25" s="97"/>
      <c r="AJ25" s="134"/>
      <c r="AK25" s="134"/>
      <c r="AL25" s="134"/>
      <c r="AM25" s="134"/>
      <c r="AN25" s="134"/>
      <c r="AO25" s="134"/>
      <c r="AP25" s="134"/>
      <c r="AQ25" s="134"/>
      <c r="AR25" s="137" t="str">
        <f>IFERROR(TIME(0,A25,B25),"")</f>
        <v/>
      </c>
      <c r="AS25" s="138">
        <f>IFERROR(TIME(0,C25,D25),"")</f>
        <v>0</v>
      </c>
      <c r="AU25" s="132" t="str">
        <f>IF(AND(F25="Hybrid - Thrust",OR(LEFT(J25,1)="T",LEFT(K25,1)="T",LEFT(L25,1)="T",LEFT(JX25,1)="T",LEFT(M25,1)="T",LEFT(N25,1)="T",LEFT(O25,1)="T",LEFT(P25,1)="T",LEFT(Q25,1)="T",LEFT(R25,1)="T",LEFT(S25,1)="T",LEFT(T25,1)="T",LEFT(U25,1)="T",LEFT(V25,1)="T",LEFT(W25,1)="T",LEFT(X25,1)="T",LEFT(Y25,1)="T",LEFT(Z25,1)="T",LEFT(AA25,1)="T")),IF(OR(LEN(J25)=2,LEN(K25)=2,LEN(L25)=2,LEN(M25)=2,LEN(N25)=2,LEN(O25)=2,LEN(P25)=2,LEN(Q25)=2,LEN(R25)=2,LEN(S25)=2,LEN(T25)=2,LEN(U25)=2,LEN(V25)=2,LEN(W25)=2,LEN(X25)=2,LEN(Y25)=2,LEN(Z25)=2,LEN(AA25)=2),"X",""),IF(AND(F25="Hybrid - 720",OR(J25="R3",K25="R3",L25="R3",M25="R3",N25="R3",O25="R3",P25="R3",Q25="R3",R25="R3",S25="R3",T25="R3",U25="R3",V25="R3",W25="R3",X25="R3",Y25="R3",Z25="R3",AA25="R3")),"X",""))</f>
        <v/>
      </c>
      <c r="AW25" s="135">
        <f t="shared" ref="AW25" si="81">COUNTIF(BB25:BS25,"=T1")+COUNTIF(BB25:BS25,"=T2")+COUNTIF(BB25:BS25,"=T3")+COUNTIF(BB25:BS25,"=T4")</f>
        <v>0</v>
      </c>
      <c r="AX25" s="135">
        <f t="shared" ref="AX25" si="82">COUNTIF(BB25:BS25,"=r1")+COUNTIF(BB25:BS25,"=r2")+COUNTIF(BB25:BS25,"=r3")+COUNTIF(BB25:BS25,"=r4")</f>
        <v>0</v>
      </c>
      <c r="AY25" s="135">
        <f t="shared" ref="AY25" si="83">COUNTIF(BB25:BS25,"=A")</f>
        <v>0</v>
      </c>
      <c r="AZ25" s="135">
        <f t="shared" ref="AZ25" si="84">COUNTIF(BB25:BS25,"=F")</f>
        <v>0</v>
      </c>
      <c r="BA25" s="135">
        <f t="shared" ref="BA25" si="85">COUNTIF(BB25:BS25,"=C")</f>
        <v>0</v>
      </c>
      <c r="BB25" s="132" t="str">
        <f t="shared" ref="BB25" si="86">IF($E26="H",IF(OR(LEFT(J25,1)="T",LEFT(J25,1)="R"),LEFT(J25,2),LEFT(J25,1)),"")</f>
        <v/>
      </c>
      <c r="BC25" s="132" t="str">
        <f t="shared" ref="BC25" si="87">IF($E26="H",IF(OR(LEFT(K25,1)="T",LEFT(K25,1)="R"),LEFT(K25,2),LEFT(K25,1)),"")</f>
        <v/>
      </c>
      <c r="BD25" s="132" t="str">
        <f t="shared" ref="BD25" si="88">IF($E26="H",IF(OR(LEFT(L25,1)="T",LEFT(L25,1)="R"),LEFT(L25,2),LEFT(L25,1)),"")</f>
        <v/>
      </c>
      <c r="BE25" s="132" t="str">
        <f t="shared" ref="BE25" si="89">IF($E26="H",IF(OR(LEFT(M25,1)="T",LEFT(M25,1)="R"),LEFT(M25,2),LEFT(M25,1)),"")</f>
        <v/>
      </c>
      <c r="BF25" s="132" t="str">
        <f t="shared" ref="BF25" si="90">IF($E26="H",IF(OR(LEFT(N25,1)="T",LEFT(N25,1)="R"),LEFT(N25,2),LEFT(N25,1)),"")</f>
        <v/>
      </c>
      <c r="BG25" s="132" t="str">
        <f t="shared" ref="BG25" si="91">IF($E26="H",IF(OR(LEFT(O25,1)="T",LEFT(O25,1)="R"),LEFT(O25,2),LEFT(O25,1)),"")</f>
        <v/>
      </c>
      <c r="BH25" s="132" t="str">
        <f t="shared" ref="BH25" si="92">IF($E26="H",IF(OR(LEFT(P25,1)="T",LEFT(P25,1)="R"),LEFT(P25,2),LEFT(P25,1)),"")</f>
        <v/>
      </c>
      <c r="BI25" s="132" t="str">
        <f t="shared" ref="BI25" si="93">IF($E26="H",IF(OR(LEFT(Q25,1)="T",LEFT(Q25,1)="R"),LEFT(Q25,2),LEFT(Q25,1)),"")</f>
        <v/>
      </c>
      <c r="BJ25" s="132" t="str">
        <f t="shared" ref="BJ25" si="94">IF($E26="H",IF(OR(LEFT(R25,1)="T",LEFT(R25,1)="R"),LEFT(R25,2),LEFT(R25,1)),"")</f>
        <v/>
      </c>
      <c r="BK25" s="132" t="str">
        <f t="shared" ref="BK25" si="95">IF($E26="H",IF(OR(LEFT(S25,1)="T",LEFT(S25,1)="R"),LEFT(S25,2),LEFT(S25,1)),"")</f>
        <v/>
      </c>
      <c r="BL25" s="132" t="str">
        <f t="shared" ref="BL25" si="96">IF($E26="H",IF(OR(LEFT(T25,1)="T",LEFT(T25,1)="R"),LEFT(T25,2),LEFT(T25,1)),"")</f>
        <v/>
      </c>
      <c r="BM25" s="132" t="str">
        <f t="shared" ref="BM25" si="97">IF($E26="H",IF(OR(LEFT(U25,1)="T",LEFT(U25,1)="R"),LEFT(U25,2),LEFT(U25,1)),"")</f>
        <v/>
      </c>
      <c r="BN25" s="132" t="str">
        <f t="shared" ref="BN25" si="98">IF($E26="H",IF(OR(LEFT(V25,1)="T",LEFT(V25,1)="R"),LEFT(V25,2),LEFT(V25,1)),"")</f>
        <v/>
      </c>
      <c r="BO25" s="132" t="str">
        <f t="shared" ref="BO25" si="99">IF($E26="H",IF(OR(LEFT(W25,1)="T",LEFT(W25,1)="R"),LEFT(W25,2),LEFT(W25,1)),"")</f>
        <v/>
      </c>
      <c r="BP25" s="132" t="str">
        <f t="shared" ref="BP25" si="100">IF($E26="H",IF(OR(LEFT(X25,1)="T",LEFT(X25,1)="R"),LEFT(X25,2),LEFT(X25,1)),"")</f>
        <v/>
      </c>
      <c r="BQ25" s="132" t="str">
        <f t="shared" ref="BQ25" si="101">IF($E26="H",IF(OR(LEFT(Y25,1)="T",LEFT(Y25,1)="R"),LEFT(Y25,2),LEFT(Y25,1)),"")</f>
        <v/>
      </c>
      <c r="BR25" s="132" t="str">
        <f t="shared" ref="BR25" si="102">IF($E26="H",IF(OR(LEFT(Z25,1)="T",LEFT(Z25,1)="R"),LEFT(Z25,2),LEFT(Z25,1)),"")</f>
        <v/>
      </c>
      <c r="BS25" s="132" t="str">
        <f t="shared" ref="BS25" si="103">IF($E26="H",IF(OR(LEFT(AA25,1)="T",LEFT(AA25,1)="R"),LEFT(AA25,2),LEFT(AA25,1)),"")</f>
        <v/>
      </c>
      <c r="BU25" s="144" t="str">
        <f t="shared" ref="BU25" si="104">IF(OR(LEFT(AB25,2)="PL",LEFT(AC25,2)="PL",LEFT(AD25,2)="PL",LEFT(AE25,2)="PL",LEFT(AF25,2)="PL"),IF($AS$17-AR25&gt;$BU$17,"X",""),"")</f>
        <v/>
      </c>
      <c r="BV25" s="144"/>
      <c r="BW25" s="135">
        <f t="shared" ref="BW25" si="105">IF(COUNTIF(BY25:CC25,BY25)&gt;1,1,IF(COUNTIF(BY25:CC25,BZ25)&gt;1,2,IF(COUNTIF(BY25:CC25,CA25)&gt;1,3,IF(COUNTIF(BY25:CC25,CB25)&gt;1,4,IF(COUNTIF(BY25:CC25,CC25)&gt;1,5,"")))))</f>
        <v>1</v>
      </c>
      <c r="BX25" s="135">
        <f t="shared" ref="BX25" si="106">IF(COUNTIF(BY25:CC25,CC25)&gt;1,5,IF(COUNTIF(BY25:CC25,CB25)&gt;1,4,IF(COUNTIF(BY25:CC25,CA25)&gt;1,3,IF(COUNTIF(BY25:CC25,BZ25)&gt;1,2,IF(COUNTIF(BY25:CC25,BY25)&gt;1,1,"")))))</f>
        <v>5</v>
      </c>
      <c r="BY25" s="132" t="str">
        <f t="shared" ref="BY25" si="107">IFERROR(IF($E26="H",IF(AB25="",BY$18,IF(ISNUMBER(_xlfn.NUMBERVALUE(LEFT(AB25,1))),MID(AB25,2,2),LEFT(AB25,2))),""),"")</f>
        <v/>
      </c>
      <c r="BZ25" s="132" t="str">
        <f t="shared" ref="BZ25" si="108">IFERROR(IF($E26="H",IF(AC25="",BZ$18,IF(ISNUMBER(_xlfn.NUMBERVALUE(LEFT(AC25,1))),MID(AC25,2,2),LEFT(AC25,2))),""),"")</f>
        <v/>
      </c>
      <c r="CA25" s="132" t="str">
        <f t="shared" ref="CA25" si="109">IFERROR(IF($E26="H",IF(AD25="",CA$18,IF(ISNUMBER(_xlfn.NUMBERVALUE(LEFT(AD25,1))),MID(AD25,2,2),LEFT(AD25,2))),""),"")</f>
        <v/>
      </c>
      <c r="CB25" s="132" t="str">
        <f t="shared" ref="CB25" si="110">IFERROR(IF($E26="H",IF(AE25="",CB$18,IF(ISNUMBER(_xlfn.NUMBERVALUE(LEFT(AE25,1))),MID(AE25,2,2),LEFT(AE25,2))),""),"")</f>
        <v/>
      </c>
      <c r="CC25" s="132" t="str">
        <f t="shared" ref="CC25" si="111">IFERROR(IF($E26="H",IF(AF25="",CC$18,IF(ISNUMBER(_xlfn.NUMBERVALUE(LEFT(AF25,1))),MID(AF25,2,2),LEFT(AF25,2))),""),"")</f>
        <v/>
      </c>
      <c r="CE25" s="135" t="str">
        <f t="shared" ref="CE25" si="112">IF(E26=3,_xlfn.NUMBERVALUE(LEFT(J25,1)),"")</f>
        <v/>
      </c>
    </row>
    <row r="26" spans="1:83" ht="12.95" x14ac:dyDescent="0.2">
      <c r="A26" s="42"/>
      <c r="B26" s="43"/>
      <c r="C26" s="43"/>
      <c r="D26" s="43"/>
      <c r="E26" s="21" t="str">
        <f t="shared" ref="E26" si="113">IF(F25="Acrobatic","PA",IF(F25="Acrobatic Airborn","A",IF(F25="Acrobatic Balance","B",IF(F25="Acrobatic Combined","C",IF(F25="Acrobatic Platform","P",IF(F25="Technical Required Element",3,IF(LEFT(F25,4)="Hybr","H","")))))))</f>
        <v/>
      </c>
      <c r="F26" s="21" t="str">
        <f>IF(OR(F25="Acrobatic Airborn",F25="Acrobatic Balance",F25="Acrobatic Combined",F25="Acrobatic Platform"),"Acrobatic",IF(AND(F25="Hybrid - Thrust",AU25="X"),"Hybrid - Thrust - X",IF(AND(F25="Hybrid - 720",AU25="X"),"Hybrid - 720 - X","")))</f>
        <v/>
      </c>
      <c r="G26" s="45"/>
      <c r="H26" s="68" t="str">
        <f t="shared" si="2"/>
        <v/>
      </c>
      <c r="I26" s="69"/>
      <c r="J26" s="16">
        <f>IFERROR(IF($E26="",0,IF(AND($E26="H",$F$8&lt;&gt;"Acrobatic"),VLOOKUP(J25,HybridDDX,2,FALSE),IF($E26="PA",VLOOKUP(J25,AcroPairDDX,2,FALSE),IF(OR($E26="A",$E26="B",$E26="C",$E26="P"),0,IF($E26=3,VLOOKUP(J25,TreDDX,2,FALSE),0))))),0)</f>
        <v>0</v>
      </c>
      <c r="K26" s="16">
        <f>IFERROR(IF($E26="",0,IF(AND($E26="H",$F$8&lt;&gt;"Acrobatic"),VLOOKUP(K25,HybridDDX,2,FALSE),IF($E26="PA",0,IF($E26="A",SUMPRODUCT(--EXACT(K25,AcroADD2),AcroADD2X),IF($E26="B",SUMPRODUCT(--EXACT(K25,AcroBDD2),AcroBDD2X),IF($E26="C",SUMPRODUCT(--EXACT(K25,AcroCDD2),AcroCDD2X),IF($E26="P",SUMPRODUCT(--EXACT(K25,AcroPDD2),AcroPDD2X),IF($E26=3,0,0)))))))),0)</f>
        <v>0</v>
      </c>
      <c r="L26" s="16">
        <f>IFERROR(IF($E26="",0,IF(AND($E26="H",$F$8&lt;&gt;"Acrobatic"),VLOOKUP(L25,HybridDDX,2,FALSE),IF($E26="PA",0,IF($E26="A",SUMPRODUCT(--EXACT(L25,AcroADD3),AcroADD3X),IF($E26="B",SUMPRODUCT(--EXACT(CONCATENATE(LEN(L25),L25),AcroBDD3W),AcroBDD3X),IF($E26="C",SUMPRODUCT(--EXACT(L25,AcroCDD3),AcroCDD3X),IF($E26="P",SUMPRODUCT(--EXACT(L25,AcroPDD3),AcroPDD3X),IF($E26=3,0,0)))))))),0)</f>
        <v>0</v>
      </c>
      <c r="M26" s="16">
        <f>IFERROR(IF($E26="",0,IF(AND($E26="H",$F$8&lt;&gt;"Acrobatic"),VLOOKUP(M25,HybridDDX,2,FALSE),IF($E26="PA",0,IF($E26="A",SUMPRODUCT(--EXACT(M25,AcroADD4p1),AcroADD4p1X),IF($E26="B",SUMPRODUCT(--EXACT(M25,AcroBDD4p1),AcroBDD4p1X),IF($E26="C",SUMPRODUCT(--EXACT(M25,AcroCDD4p1),AcroCDD4p1X),IF($E26="P",SUMPRODUCT(--EXACT(M25,AcroPDD4p1),AcroPDD4p1X),IF($E26=3,0,0)))))))),0)</f>
        <v>0</v>
      </c>
      <c r="N26" s="16">
        <f>IFERROR(IF($E26="",0,IF(AND($E26="H",$F$8&lt;&gt;"Acrobatic"),VLOOKUP(N25,HybridDDX,2,FALSE),IF($E26="PA",0,IF($E26="A",SUMPRODUCT(--EXACT(N25,AcroADD4p2),AcroADD4p2X),IF($E26="B",SUMPRODUCT(--EXACT(N25,AcroBDD4p2),AcroBDD4p2X),IF($E26="C",SUMPRODUCT(--EXACT(N25,AcroCDD4p2),AcroCDD4p2X),IF($E26="P",SUMPRODUCT(--EXACT(N25,AcroPDD4p2),AcroPDD4p2X),IF($E26=3,0,0)))))))),0)</f>
        <v>0</v>
      </c>
      <c r="O26" s="16">
        <f>IFERROR(IF($E26="",0,IF(AND($E26="H",$F$8&lt;&gt;"Acrobatic"),VLOOKUP(O25,HybridDDX,2,FALSE),IF($E26="PA",0,IF($E26="A",SUMPRODUCT(--EXACT(O25,AcroADD5),AcroADD5X),IF($E26="B",SUMPRODUCT(--EXACT(O25,AcroBDD5),AcroBDD5X),IF($E26="C",SUMPRODUCT(--EXACT(O25,AcroCDD5),AcroCDD5X),IF($E26="P",SUMPRODUCT(--EXACT(O25,AcroPDD5),AcroPDD5X),IF($E26=3,0,0)))))))),0)</f>
        <v>0</v>
      </c>
      <c r="P26" s="16">
        <f>IFERROR(IF($E26="",0,IF(AND($E26="H",$F$8&lt;&gt;"Acrobatic"),VLOOKUP(P25,HybridDDX,2,FALSE),IF($E26="C",SUMPRODUCT(--EXACT(P25,AcroCDD6),AcroCDD6X),0))),0)</f>
        <v>0</v>
      </c>
      <c r="Q26" s="16">
        <f t="shared" ref="Q26:AA26" si="114">IFERROR(IF($E26="",0,IF(AND($E26="H",$F$8&lt;&gt;"Acrobatic"),VLOOKUP(Q25,HybridDDX,2,FALSE),0)),0)</f>
        <v>0</v>
      </c>
      <c r="R26" s="16">
        <f t="shared" si="114"/>
        <v>0</v>
      </c>
      <c r="S26" s="16">
        <f t="shared" si="114"/>
        <v>0</v>
      </c>
      <c r="T26" s="16">
        <f t="shared" si="114"/>
        <v>0</v>
      </c>
      <c r="U26" s="16">
        <f t="shared" si="114"/>
        <v>0</v>
      </c>
      <c r="V26" s="16">
        <f t="shared" si="114"/>
        <v>0</v>
      </c>
      <c r="W26" s="16">
        <f t="shared" si="114"/>
        <v>0</v>
      </c>
      <c r="X26" s="16">
        <f t="shared" si="114"/>
        <v>0</v>
      </c>
      <c r="Y26" s="16">
        <f t="shared" si="114"/>
        <v>0</v>
      </c>
      <c r="Z26" s="16">
        <f t="shared" si="114"/>
        <v>0</v>
      </c>
      <c r="AA26" s="16">
        <f t="shared" si="114"/>
        <v>0</v>
      </c>
      <c r="AB26" s="28">
        <f>IFERROR(IF($E26="",0,IF(AND($E26="H",$F$8&lt;&gt;"Acrobatic"),VLOOKUP(AB25,BonusDDX,2,FALSE),IF($E26="A",VLOOKUP(AB25,AcroABonusX,2,FALSE),IF($E26="B",VLOOKUP(AB25,AcroBBonusX,2,FALSE),IF($E26="C",VLOOKUP(AB25,AcroCBonusX,2,FALSE),IF($E26="P",VLOOKUP(AB25,AcroPBonusX,2,FALSE),0)))))),0)</f>
        <v>0</v>
      </c>
      <c r="AC26" s="16">
        <f>IFERROR(IF($E26="",0,IF(AND($E26="H",$F$8&lt;&gt;"Acrobatic"),VLOOKUP(AC25,BonusDDX,2,FALSE),IF($E26="A",VLOOKUP(AC25,AcroABonusX,2,FALSE),IF($E26="B",VLOOKUP(AC25,AcroBBonusX,2,FALSE),IF($E26="C",VLOOKUP(AC25,AcroCBonusX,2,FALSE),IF($E26="P",VLOOKUP(AC25,AcroPBonusX,2,FALSE),0)))))),0)</f>
        <v>0</v>
      </c>
      <c r="AD26" s="16">
        <f>IFERROR(IF($E26="",0,IF(AND($E26="H",$F$8&lt;&gt;"Acrobatic"),VLOOKUP(AD25,BonusDDX,2,FALSE),0)),0)</f>
        <v>0</v>
      </c>
      <c r="AE26" s="16">
        <f>IFERROR(IF($E26="",0,IF(AND($E26="H",$F$8&lt;&gt;"Acrobatic"),VLOOKUP(AE25,BonusDDX,2,FALSE),0)),0)</f>
        <v>0</v>
      </c>
      <c r="AF26" s="46">
        <f>IFERROR(IF($E26="",0,IF(AND($E26="H",$F$8&lt;&gt;"Acrobatic"),VLOOKUP(AF25,BonusDDX,2,FALSE),0)),0)</f>
        <v>0</v>
      </c>
      <c r="AG26" s="71">
        <f t="shared" ref="AG26" si="115">SUM(H26:AF26)</f>
        <v>0</v>
      </c>
      <c r="AH26" s="98"/>
      <c r="AI26" s="98"/>
      <c r="AJ26" s="145"/>
      <c r="AK26" s="145"/>
      <c r="AL26" s="145"/>
      <c r="AM26" s="145"/>
      <c r="AN26" s="145"/>
      <c r="AO26" s="145"/>
      <c r="AP26" s="145"/>
      <c r="AQ26" s="145"/>
      <c r="AR26" s="146" t="str">
        <f>IFERROR(IF($N$7="X",IF(AND(E26="C",AG26&gt;2.45),"X",IF(AND(E26="A",AG26&gt;2.65),"X",IF(AND(E26="B",AG26&gt;2.6),"X",IF(AND(E26="P",AG26&gt;2.5),"X","")))),""),"")</f>
        <v/>
      </c>
      <c r="AS26" s="138"/>
      <c r="AU26" s="132"/>
    </row>
    <row r="27" spans="1:83" ht="12.95" x14ac:dyDescent="0.2">
      <c r="A27" s="42" t="str">
        <f t="shared" ref="A27" si="116">IF(AND(E25="",A25&lt;&gt;""),IF(AS25=$AS$18,"",IF(C25&lt;&gt;"",IF(D25=59,MINUTE(AS25)+1,MINUTE(AS25)),"")),"")</f>
        <v/>
      </c>
      <c r="B27" s="43" t="str">
        <f t="shared" ref="B27" si="117">IF(AND(E25="",B25&lt;&gt;""),IF(AS25=$AS$18,"",IF(C25&lt;&gt;"",IF(D25=59,0,SECOND(AS25)+1),"")),"")</f>
        <v/>
      </c>
      <c r="C27" s="54"/>
      <c r="D27" s="54"/>
      <c r="E27" s="9"/>
      <c r="F27" s="55"/>
      <c r="G27" s="45" t="str">
        <f>IF(F27&lt;&gt;"",IF(OR(F27="Transition",F27="Connected Surface Movment",F27="Cadense"),0,MAX($G$19:G26)+1),"")</f>
        <v/>
      </c>
      <c r="H27" s="68" t="str">
        <f t="shared" ref="H27" si="118">IF(E28=3,"",IF(E28="H","BM",IF(E28="PA",IF(OR(LEFT(J27,1)="L",LEFT(J27,1)="S"),"A-Pair-Lift",IF(OR(LEFT(J27,1)="W",LEFT(J27,1)="T"),"A-Pair-Throw",IF(LEFT(J27,1)="J","A-Pair-Jump","A-Pair"))),IF(OR(E28="A",E28="B",E28="C",E28="P"),CONCATENATE("Acro-",J27),""))))</f>
        <v/>
      </c>
      <c r="I27" s="69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6"/>
      <c r="AC27" s="161"/>
      <c r="AD27" s="161"/>
      <c r="AE27" s="161"/>
      <c r="AF27" s="167"/>
      <c r="AG27" s="47"/>
      <c r="AH27" s="97"/>
      <c r="AI27" s="97"/>
      <c r="AJ27" s="134"/>
      <c r="AK27" s="134"/>
      <c r="AL27" s="134"/>
      <c r="AM27" s="134"/>
      <c r="AN27" s="134"/>
      <c r="AO27" s="134"/>
      <c r="AP27" s="134"/>
      <c r="AQ27" s="134"/>
      <c r="AR27" s="137" t="str">
        <f>IFERROR(TIME(0,A27,B27),"")</f>
        <v/>
      </c>
      <c r="AS27" s="138">
        <f>IFERROR(TIME(0,C27,D27),"")</f>
        <v>0</v>
      </c>
      <c r="AU27" s="132" t="str">
        <f>IF(AND(F27="Hybrid - Thrust",OR(LEFT(J27,1)="T",LEFT(K27,1)="T",LEFT(L27,1)="T",LEFT(JX27,1)="T",LEFT(M27,1)="T",LEFT(N27,1)="T",LEFT(O27,1)="T",LEFT(P27,1)="T",LEFT(Q27,1)="T",LEFT(R27,1)="T",LEFT(S27,1)="T",LEFT(T27,1)="T",LEFT(U27,1)="T",LEFT(V27,1)="T",LEFT(W27,1)="T",LEFT(X27,1)="T",LEFT(Y27,1)="T",LEFT(Z27,1)="T",LEFT(AA27,1)="T")),IF(OR(LEN(J27)=2,LEN(K27)=2,LEN(L27)=2,LEN(M27)=2,LEN(N27)=2,LEN(O27)=2,LEN(P27)=2,LEN(Q27)=2,LEN(R27)=2,LEN(S27)=2,LEN(T27)=2,LEN(U27)=2,LEN(V27)=2,LEN(W27)=2,LEN(X27)=2,LEN(Y27)=2,LEN(Z27)=2,LEN(AA27)=2),"X",""),IF(AND(F27="Hybrid - 720",OR(J27="R3",K27="R3",L27="R3",M27="R3",N27="R3",O27="R3",P27="R3",Q27="R3",R27="R3",S27="R3",T27="R3",U27="R3",V27="R3",W27="R3",X27="R3",Y27="R3",Z27="R3",AA27="R3")),"X",""))</f>
        <v/>
      </c>
      <c r="AW27" s="135">
        <f t="shared" ref="AW27" si="119">COUNTIF(BB27:BS27,"=T1")+COUNTIF(BB27:BS27,"=T2")+COUNTIF(BB27:BS27,"=T3")+COUNTIF(BB27:BS27,"=T4")</f>
        <v>0</v>
      </c>
      <c r="AX27" s="135">
        <f t="shared" ref="AX27" si="120">COUNTIF(BB27:BS27,"=r1")+COUNTIF(BB27:BS27,"=r2")+COUNTIF(BB27:BS27,"=r3")+COUNTIF(BB27:BS27,"=r4")</f>
        <v>0</v>
      </c>
      <c r="AY27" s="135">
        <f t="shared" ref="AY27" si="121">COUNTIF(BB27:BS27,"=A")</f>
        <v>0</v>
      </c>
      <c r="AZ27" s="135">
        <f t="shared" ref="AZ27" si="122">COUNTIF(BB27:BS27,"=F")</f>
        <v>0</v>
      </c>
      <c r="BA27" s="135">
        <f t="shared" ref="BA27" si="123">COUNTIF(BB27:BS27,"=C")</f>
        <v>0</v>
      </c>
      <c r="BB27" s="132" t="str">
        <f t="shared" ref="BB27" si="124">IF($E28="H",IF(OR(LEFT(J27,1)="T",LEFT(J27,1)="R"),LEFT(J27,2),LEFT(J27,1)),"")</f>
        <v/>
      </c>
      <c r="BC27" s="132" t="str">
        <f t="shared" ref="BC27" si="125">IF($E28="H",IF(OR(LEFT(K27,1)="T",LEFT(K27,1)="R"),LEFT(K27,2),LEFT(K27,1)),"")</f>
        <v/>
      </c>
      <c r="BD27" s="132" t="str">
        <f t="shared" ref="BD27" si="126">IF($E28="H",IF(OR(LEFT(L27,1)="T",LEFT(L27,1)="R"),LEFT(L27,2),LEFT(L27,1)),"")</f>
        <v/>
      </c>
      <c r="BE27" s="132" t="str">
        <f t="shared" ref="BE27" si="127">IF($E28="H",IF(OR(LEFT(M27,1)="T",LEFT(M27,1)="R"),LEFT(M27,2),LEFT(M27,1)),"")</f>
        <v/>
      </c>
      <c r="BF27" s="132" t="str">
        <f t="shared" ref="BF27" si="128">IF($E28="H",IF(OR(LEFT(N27,1)="T",LEFT(N27,1)="R"),LEFT(N27,2),LEFT(N27,1)),"")</f>
        <v/>
      </c>
      <c r="BG27" s="132" t="str">
        <f t="shared" ref="BG27" si="129">IF($E28="H",IF(OR(LEFT(O27,1)="T",LEFT(O27,1)="R"),LEFT(O27,2),LEFT(O27,1)),"")</f>
        <v/>
      </c>
      <c r="BH27" s="132" t="str">
        <f t="shared" ref="BH27" si="130">IF($E28="H",IF(OR(LEFT(P27,1)="T",LEFT(P27,1)="R"),LEFT(P27,2),LEFT(P27,1)),"")</f>
        <v/>
      </c>
      <c r="BI27" s="132" t="str">
        <f t="shared" ref="BI27" si="131">IF($E28="H",IF(OR(LEFT(Q27,1)="T",LEFT(Q27,1)="R"),LEFT(Q27,2),LEFT(Q27,1)),"")</f>
        <v/>
      </c>
      <c r="BJ27" s="132" t="str">
        <f t="shared" ref="BJ27" si="132">IF($E28="H",IF(OR(LEFT(R27,1)="T",LEFT(R27,1)="R"),LEFT(R27,2),LEFT(R27,1)),"")</f>
        <v/>
      </c>
      <c r="BK27" s="132" t="str">
        <f t="shared" ref="BK27" si="133">IF($E28="H",IF(OR(LEFT(S27,1)="T",LEFT(S27,1)="R"),LEFT(S27,2),LEFT(S27,1)),"")</f>
        <v/>
      </c>
      <c r="BL27" s="132" t="str">
        <f t="shared" ref="BL27" si="134">IF($E28="H",IF(OR(LEFT(T27,1)="T",LEFT(T27,1)="R"),LEFT(T27,2),LEFT(T27,1)),"")</f>
        <v/>
      </c>
      <c r="BM27" s="132" t="str">
        <f t="shared" ref="BM27" si="135">IF($E28="H",IF(OR(LEFT(U27,1)="T",LEFT(U27,1)="R"),LEFT(U27,2),LEFT(U27,1)),"")</f>
        <v/>
      </c>
      <c r="BN27" s="132" t="str">
        <f t="shared" ref="BN27" si="136">IF($E28="H",IF(OR(LEFT(V27,1)="T",LEFT(V27,1)="R"),LEFT(V27,2),LEFT(V27,1)),"")</f>
        <v/>
      </c>
      <c r="BO27" s="132" t="str">
        <f t="shared" ref="BO27" si="137">IF($E28="H",IF(OR(LEFT(W27,1)="T",LEFT(W27,1)="R"),LEFT(W27,2),LEFT(W27,1)),"")</f>
        <v/>
      </c>
      <c r="BP27" s="132" t="str">
        <f t="shared" ref="BP27" si="138">IF($E28="H",IF(OR(LEFT(X27,1)="T",LEFT(X27,1)="R"),LEFT(X27,2),LEFT(X27,1)),"")</f>
        <v/>
      </c>
      <c r="BQ27" s="132" t="str">
        <f t="shared" ref="BQ27" si="139">IF($E28="H",IF(OR(LEFT(Y27,1)="T",LEFT(Y27,1)="R"),LEFT(Y27,2),LEFT(Y27,1)),"")</f>
        <v/>
      </c>
      <c r="BR27" s="132" t="str">
        <f t="shared" ref="BR27" si="140">IF($E28="H",IF(OR(LEFT(Z27,1)="T",LEFT(Z27,1)="R"),LEFT(Z27,2),LEFT(Z27,1)),"")</f>
        <v/>
      </c>
      <c r="BS27" s="132" t="str">
        <f t="shared" ref="BS27" si="141">IF($E28="H",IF(OR(LEFT(AA27,1)="T",LEFT(AA27,1)="R"),LEFT(AA27,2),LEFT(AA27,1)),"")</f>
        <v/>
      </c>
      <c r="BU27" s="144" t="str">
        <f t="shared" ref="BU27" si="142">IF(OR(LEFT(AB27,2)="PL",LEFT(AC27,2)="PL",LEFT(AD27,2)="PL",LEFT(AE27,2)="PL",LEFT(AF27,2)="PL"),IF($AS$17-AR27&gt;$BU$17,"X",""),"")</f>
        <v/>
      </c>
      <c r="BV27" s="144"/>
      <c r="BW27" s="135">
        <f t="shared" ref="BW27" si="143">IF(COUNTIF(BY27:CC27,BY27)&gt;1,1,IF(COUNTIF(BY27:CC27,BZ27)&gt;1,2,IF(COUNTIF(BY27:CC27,CA27)&gt;1,3,IF(COUNTIF(BY27:CC27,CB27)&gt;1,4,IF(COUNTIF(BY27:CC27,CC27)&gt;1,5,"")))))</f>
        <v>1</v>
      </c>
      <c r="BX27" s="135">
        <f t="shared" ref="BX27" si="144">IF(COUNTIF(BY27:CC27,CC27)&gt;1,5,IF(COUNTIF(BY27:CC27,CB27)&gt;1,4,IF(COUNTIF(BY27:CC27,CA27)&gt;1,3,IF(COUNTIF(BY27:CC27,BZ27)&gt;1,2,IF(COUNTIF(BY27:CC27,BY27)&gt;1,1,"")))))</f>
        <v>5</v>
      </c>
      <c r="BY27" s="132" t="str">
        <f t="shared" ref="BY27" si="145">IFERROR(IF($E28="H",IF(AB27="",BY$18,IF(ISNUMBER(_xlfn.NUMBERVALUE(LEFT(AB27,1))),MID(AB27,2,2),LEFT(AB27,2))),""),"")</f>
        <v/>
      </c>
      <c r="BZ27" s="132" t="str">
        <f t="shared" ref="BZ27" si="146">IFERROR(IF($E28="H",IF(AC27="",BZ$18,IF(ISNUMBER(_xlfn.NUMBERVALUE(LEFT(AC27,1))),MID(AC27,2,2),LEFT(AC27,2))),""),"")</f>
        <v/>
      </c>
      <c r="CA27" s="132" t="str">
        <f t="shared" ref="CA27" si="147">IFERROR(IF($E28="H",IF(AD27="",CA$18,IF(ISNUMBER(_xlfn.NUMBERVALUE(LEFT(AD27,1))),MID(AD27,2,2),LEFT(AD27,2))),""),"")</f>
        <v/>
      </c>
      <c r="CB27" s="132" t="str">
        <f t="shared" ref="CB27" si="148">IFERROR(IF($E28="H",IF(AE27="",CB$18,IF(ISNUMBER(_xlfn.NUMBERVALUE(LEFT(AE27,1))),MID(AE27,2,2),LEFT(AE27,2))),""),"")</f>
        <v/>
      </c>
      <c r="CC27" s="132" t="str">
        <f t="shared" ref="CC27" si="149">IFERROR(IF($E28="H",IF(AF27="",CC$18,IF(ISNUMBER(_xlfn.NUMBERVALUE(LEFT(AF27,1))),MID(AF27,2,2),LEFT(AF27,2))),""),"")</f>
        <v/>
      </c>
      <c r="CE27" s="135" t="str">
        <f t="shared" ref="CE27" si="150">IF(E28=3,_xlfn.NUMBERVALUE(LEFT(J27,1)),"")</f>
        <v/>
      </c>
    </row>
    <row r="28" spans="1:83" ht="12.95" x14ac:dyDescent="0.2">
      <c r="A28" s="42"/>
      <c r="B28" s="43"/>
      <c r="C28" s="43"/>
      <c r="D28" s="43"/>
      <c r="E28" s="21" t="str">
        <f t="shared" ref="E28" si="151">IF(F27="Acrobatic","PA",IF(F27="Acrobatic Airborn","A",IF(F27="Acrobatic Balance","B",IF(F27="Acrobatic Combined","C",IF(F27="Acrobatic Platform","P",IF(F27="Technical Required Element",3,IF(LEFT(F27,4)="Hybr","H","")))))))</f>
        <v/>
      </c>
      <c r="F28" s="21" t="str">
        <f>IF(OR(F27="Acrobatic Airborn",F27="Acrobatic Balance",F27="Acrobatic Combined",F27="Acrobatic Platform"),"Acrobatic",IF(AND(F27="Hybrid - Thrust",AU27="X"),"Hybrid - Thrust - X",IF(AND(F27="Hybrid - 720",AU27="X"),"Hybrid - 720 - X","")))</f>
        <v/>
      </c>
      <c r="G28" s="45"/>
      <c r="H28" s="68" t="str">
        <f t="shared" si="2"/>
        <v/>
      </c>
      <c r="I28" s="69"/>
      <c r="J28" s="16">
        <f>IFERROR(IF($E28="",0,IF(AND($E28="H",$F$8&lt;&gt;"Acrobatic"),VLOOKUP(J27,HybridDDX,2,FALSE),IF($E28="PA",VLOOKUP(J27,AcroPairDDX,2,FALSE),IF(OR($E28="A",$E28="B",$E28="C",$E28="P"),0,IF($E28=3,VLOOKUP(J27,TreDDX,2,FALSE),0))))),0)</f>
        <v>0</v>
      </c>
      <c r="K28" s="16">
        <f>IFERROR(IF($E28="",0,IF(AND($E28="H",$F$8&lt;&gt;"Acrobatic"),VLOOKUP(K27,HybridDDX,2,FALSE),IF($E28="PA",0,IF($E28="A",SUMPRODUCT(--EXACT(K27,AcroADD2),AcroADD2X),IF($E28="B",SUMPRODUCT(--EXACT(K27,AcroBDD2),AcroBDD2X),IF($E28="C",SUMPRODUCT(--EXACT(K27,AcroCDD2),AcroCDD2X),IF($E28="P",SUMPRODUCT(--EXACT(K27,AcroPDD2),AcroPDD2X),IF($E28=3,0,0)))))))),0)</f>
        <v>0</v>
      </c>
      <c r="L28" s="16">
        <f t="array" ref="L28">IFERROR(IF($E28="",0,IF(AND($E28="H",$F$8&lt;&gt;"Acrobatic"),VLOOKUP(L27,HybridDDX,2,FALSE),IF($E28="PA",0,IF($E28="A",SUMPRODUCT(--EXACT(L27,AcroADD3),AcroADD3X),IF($E28="B",SUMPRODUCT(--EXACT(CONCATENATE(LEN(L27),L27),AcroBDD3W),AcroBDD3X),IF($E28="C",SUMPRODUCT(--EXACT(L27,AcroCDD3),AcroCDD3X),IF($E28="P",SUMPRODUCT(--EXACT(L27,AcroPDD3),AcroPDD3X),IF($E28=3,0,0)))))))),0)</f>
        <v>0</v>
      </c>
      <c r="M28" s="16">
        <f>IFERROR(IF($E28="",0,IF(AND($E28="H",$F$8&lt;&gt;"Acrobatic"),VLOOKUP(M27,HybridDDX,2,FALSE),IF($E28="PA",0,IF($E28="A",SUMPRODUCT(--EXACT(M27,AcroADD4p1),AcroADD4p1X),IF($E28="B",SUMPRODUCT(--EXACT(M27,AcroBDD4p1),AcroBDD4p1X),IF($E28="C",SUMPRODUCT(--EXACT(M27,AcroCDD4p1),AcroCDD4p1X),IF($E28="P",SUMPRODUCT(--EXACT(M27,AcroPDD4p1),AcroPDD4p1X),IF($E28=3,0,0)))))))),0)</f>
        <v>0</v>
      </c>
      <c r="N28" s="16">
        <f>IFERROR(IF($E28="",0,IF(AND($E28="H",$F$8&lt;&gt;"Acrobatic"),VLOOKUP(N27,HybridDDX,2,FALSE),IF($E28="PA",0,IF($E28="A",SUMPRODUCT(--EXACT(N27,AcroADD4p2),AcroADD4p2X),IF($E28="B",SUMPRODUCT(--EXACT(N27,AcroBDD4p2),AcroBDD4p2X),IF($E28="C",SUMPRODUCT(--EXACT(N27,AcroCDD4p2),AcroCDD4p2X),IF($E28="P",SUMPRODUCT(--EXACT(N27,AcroPDD4p2),AcroPDD4p2X),IF($E28=3,0,0)))))))),0)</f>
        <v>0</v>
      </c>
      <c r="O28" s="16">
        <f>IFERROR(IF($E28="",0,IF(AND($E28="H",$F$8&lt;&gt;"Acrobatic"),VLOOKUP(O27,HybridDDX,2,FALSE),IF($E28="PA",0,IF($E28="A",SUMPRODUCT(--EXACT(O27,AcroADD5),AcroADD5X),IF($E28="B",SUMPRODUCT(--EXACT(O27,AcroBDD5),AcroBDD5X),IF($E28="C",SUMPRODUCT(--EXACT(O27,AcroCDD5),AcroCDD5X),IF($E28="P",SUMPRODUCT(--EXACT(O27,AcroPDD5),AcroPDD5X),IF($E28=3,0,0)))))))),0)</f>
        <v>0</v>
      </c>
      <c r="P28" s="16">
        <f>IFERROR(IF($E28="",0,IF(AND($E28="H",$F$8&lt;&gt;"Acrobatic"),VLOOKUP(P27,HybridDDX,2,FALSE),IF($E28="C",SUMPRODUCT(--EXACT(P27,AcroCDD6),AcroCDD6X),0))),0)</f>
        <v>0</v>
      </c>
      <c r="Q28" s="16">
        <f t="shared" ref="Q28:AA28" si="152">IFERROR(IF($E28="",0,IF(AND($E28="H",$F$8&lt;&gt;"Acrobatic"),VLOOKUP(Q27,HybridDDX,2,FALSE),0)),0)</f>
        <v>0</v>
      </c>
      <c r="R28" s="16">
        <f t="shared" si="152"/>
        <v>0</v>
      </c>
      <c r="S28" s="16">
        <f t="shared" si="152"/>
        <v>0</v>
      </c>
      <c r="T28" s="16">
        <f t="shared" si="152"/>
        <v>0</v>
      </c>
      <c r="U28" s="16">
        <f t="shared" si="152"/>
        <v>0</v>
      </c>
      <c r="V28" s="16">
        <f t="shared" si="152"/>
        <v>0</v>
      </c>
      <c r="W28" s="16">
        <f t="shared" si="152"/>
        <v>0</v>
      </c>
      <c r="X28" s="16">
        <f t="shared" si="152"/>
        <v>0</v>
      </c>
      <c r="Y28" s="16">
        <f t="shared" si="152"/>
        <v>0</v>
      </c>
      <c r="Z28" s="16">
        <f t="shared" si="152"/>
        <v>0</v>
      </c>
      <c r="AA28" s="16">
        <f t="shared" si="152"/>
        <v>0</v>
      </c>
      <c r="AB28" s="28">
        <f>IFERROR(IF($E28="",0,IF(AND($E28="H",$F$8&lt;&gt;"Acrobatic"),VLOOKUP(AB27,BonusDDX,2,FALSE),IF($E28="A",VLOOKUP(AB27,AcroABonusX,2,FALSE),IF($E28="B",VLOOKUP(AB27,AcroBBonusX,2,FALSE),IF($E28="C",VLOOKUP(AB27,AcroCBonusX,2,FALSE),IF($E28="P",VLOOKUP(AB27,AcroPBonusX,2,FALSE),0)))))),0)</f>
        <v>0</v>
      </c>
      <c r="AC28" s="16">
        <f>IFERROR(IF($E28="",0,IF(AND($E28="H",$F$8&lt;&gt;"Acrobatic"),VLOOKUP(AC27,BonusDDX,2,FALSE),IF($E28="A",VLOOKUP(AC27,AcroABonusX,2,FALSE),IF($E28="B",VLOOKUP(AC27,AcroBBonusX,2,FALSE),IF($E28="C",VLOOKUP(AC27,AcroCBonusX,2,FALSE),IF($E28="P",VLOOKUP(AC27,AcroPBonusX,2,FALSE),0)))))),0)</f>
        <v>0</v>
      </c>
      <c r="AD28" s="16">
        <f>IFERROR(IF($E28="",0,IF(AND($E28="H",$F$8&lt;&gt;"Acrobatic"),VLOOKUP(AD27,BonusDDX,2,FALSE),0)),0)</f>
        <v>0</v>
      </c>
      <c r="AE28" s="16">
        <f>IFERROR(IF($E28="",0,IF(AND($E28="H",$F$8&lt;&gt;"Acrobatic"),VLOOKUP(AE27,BonusDDX,2,FALSE),0)),0)</f>
        <v>0</v>
      </c>
      <c r="AF28" s="46">
        <f>IFERROR(IF($E28="",0,IF(AND($E28="H",$F$8&lt;&gt;"Acrobatic"),VLOOKUP(AF27,BonusDDX,2,FALSE),0)),0)</f>
        <v>0</v>
      </c>
      <c r="AG28" s="71">
        <f t="shared" ref="AG28" si="153">SUM(H28:AF28)</f>
        <v>0</v>
      </c>
      <c r="AH28" s="98"/>
      <c r="AI28" s="98"/>
      <c r="AJ28" s="145"/>
      <c r="AK28" s="145"/>
      <c r="AL28" s="145"/>
      <c r="AM28" s="145"/>
      <c r="AN28" s="145"/>
      <c r="AO28" s="145"/>
      <c r="AP28" s="145"/>
      <c r="AQ28" s="145"/>
      <c r="AR28" s="146" t="str">
        <f>IFERROR(IF($N$7="X",IF(AND(E28="C",AG28&gt;2.45),"X",IF(AND(E28="A",AG28&gt;2.65),"X",IF(AND(E28="B",AG28&gt;2.6),"X",IF(AND(E28="P",AG28&gt;2.5),"X","")))),""),"")</f>
        <v/>
      </c>
      <c r="AS28" s="138"/>
      <c r="AU28" s="132"/>
    </row>
    <row r="29" spans="1:83" ht="12.95" x14ac:dyDescent="0.2">
      <c r="A29" s="42" t="str">
        <f t="shared" ref="A29" si="154">IF(AND(E27="",A27&lt;&gt;""),IF(AS27=$AS$18,"",IF(C27&lt;&gt;"",IF(D27=59,MINUTE(AS27)+1,MINUTE(AS27)),"")),"")</f>
        <v/>
      </c>
      <c r="B29" s="43" t="str">
        <f t="shared" ref="B29" si="155">IF(AND(E27="",B27&lt;&gt;""),IF(AS27=$AS$18,"",IF(C27&lt;&gt;"",IF(D27=59,0,SECOND(AS27)+1),"")),"")</f>
        <v/>
      </c>
      <c r="C29" s="54"/>
      <c r="D29" s="54"/>
      <c r="E29" s="9"/>
      <c r="F29" s="55"/>
      <c r="G29" s="45" t="str">
        <f>IF(F29&lt;&gt;"",IF(OR(F29="Transition",F29="Connected Surface Movment",F29="Cadense"),0,MAX($G$19:G28)+1),"")</f>
        <v/>
      </c>
      <c r="H29" s="68" t="str">
        <f t="shared" ref="H29" si="156">IF(E30=3,"",IF(E30="H","BM",IF(E30="PA",IF(OR(LEFT(J29,1)="L",LEFT(J29,1)="S"),"A-Pair-Lift",IF(OR(LEFT(J29,1)="W",LEFT(J29,1)="T"),"A-Pair-Throw",IF(LEFT(J29,1)="J","A-Pair-Jump","A-Pair"))),IF(OR(E30="A",E30="B",E30="C",E30="P"),CONCATENATE("Acro-",J29),""))))</f>
        <v/>
      </c>
      <c r="I29" s="69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6"/>
      <c r="AC29" s="161"/>
      <c r="AD29" s="161"/>
      <c r="AE29" s="161"/>
      <c r="AF29" s="167"/>
      <c r="AG29" s="47"/>
      <c r="AH29" s="97"/>
      <c r="AI29" s="97"/>
      <c r="AJ29" s="134"/>
      <c r="AK29" s="134"/>
      <c r="AL29" s="134"/>
      <c r="AM29" s="134"/>
      <c r="AN29" s="134"/>
      <c r="AO29" s="134"/>
      <c r="AP29" s="134"/>
      <c r="AQ29" s="134"/>
      <c r="AR29" s="137" t="str">
        <f>IFERROR(TIME(0,A29,B29),"")</f>
        <v/>
      </c>
      <c r="AS29" s="138">
        <f>IFERROR(TIME(0,C29,D29),"")</f>
        <v>0</v>
      </c>
      <c r="AU29" s="132" t="str">
        <f>IF(AND(F29="Hybrid - Thrust",OR(LEFT(J29,1)="T",LEFT(K29,1)="T",LEFT(L29,1)="T",LEFT(JX29,1)="T",LEFT(M29,1)="T",LEFT(N29,1)="T",LEFT(O29,1)="T",LEFT(P29,1)="T",LEFT(Q29,1)="T",LEFT(R29,1)="T",LEFT(S29,1)="T",LEFT(T29,1)="T",LEFT(U29,1)="T",LEFT(V29,1)="T",LEFT(W29,1)="T",LEFT(X29,1)="T",LEFT(Y29,1)="T",LEFT(Z29,1)="T",LEFT(AA29,1)="T")),IF(OR(LEN(J29)=2,LEN(K29)=2,LEN(L29)=2,LEN(M29)=2,LEN(N29)=2,LEN(O29)=2,LEN(P29)=2,LEN(Q29)=2,LEN(R29)=2,LEN(S29)=2,LEN(T29)=2,LEN(U29)=2,LEN(V29)=2,LEN(W29)=2,LEN(X29)=2,LEN(Y29)=2,LEN(Z29)=2,LEN(AA29)=2),"X",""),IF(AND(F29="Hybrid - 720",OR(J29="R3",K29="R3",L29="R3",M29="R3",N29="R3",O29="R3",P29="R3",Q29="R3",R29="R3",S29="R3",T29="R3",U29="R3",V29="R3",W29="R3",X29="R3",Y29="R3",Z29="R3",AA29="R3")),"X",""))</f>
        <v/>
      </c>
      <c r="AW29" s="135">
        <f t="shared" ref="AW29" si="157">COUNTIF(BB29:BS29,"=T1")+COUNTIF(BB29:BS29,"=T2")+COUNTIF(BB29:BS29,"=T3")+COUNTIF(BB29:BS29,"=T4")</f>
        <v>0</v>
      </c>
      <c r="AX29" s="135">
        <f t="shared" ref="AX29" si="158">COUNTIF(BB29:BS29,"=r1")+COUNTIF(BB29:BS29,"=r2")+COUNTIF(BB29:BS29,"=r3")+COUNTIF(BB29:BS29,"=r4")</f>
        <v>0</v>
      </c>
      <c r="AY29" s="135">
        <f t="shared" ref="AY29" si="159">COUNTIF(BB29:BS29,"=A")</f>
        <v>0</v>
      </c>
      <c r="AZ29" s="135">
        <f t="shared" ref="AZ29" si="160">COUNTIF(BB29:BS29,"=F")</f>
        <v>0</v>
      </c>
      <c r="BA29" s="135">
        <f t="shared" ref="BA29" si="161">COUNTIF(BB29:BS29,"=C")</f>
        <v>0</v>
      </c>
      <c r="BB29" s="132" t="str">
        <f t="shared" ref="BB29" si="162">IF($E30="H",IF(OR(LEFT(J29,1)="T",LEFT(J29,1)="R"),LEFT(J29,2),LEFT(J29,1)),"")</f>
        <v/>
      </c>
      <c r="BC29" s="132" t="str">
        <f t="shared" ref="BC29" si="163">IF($E30="H",IF(OR(LEFT(K29,1)="T",LEFT(K29,1)="R"),LEFT(K29,2),LEFT(K29,1)),"")</f>
        <v/>
      </c>
      <c r="BD29" s="132" t="str">
        <f t="shared" ref="BD29" si="164">IF($E30="H",IF(OR(LEFT(L29,1)="T",LEFT(L29,1)="R"),LEFT(L29,2),LEFT(L29,1)),"")</f>
        <v/>
      </c>
      <c r="BE29" s="132" t="str">
        <f t="shared" ref="BE29" si="165">IF($E30="H",IF(OR(LEFT(M29,1)="T",LEFT(M29,1)="R"),LEFT(M29,2),LEFT(M29,1)),"")</f>
        <v/>
      </c>
      <c r="BF29" s="132" t="str">
        <f t="shared" ref="BF29" si="166">IF($E30="H",IF(OR(LEFT(N29,1)="T",LEFT(N29,1)="R"),LEFT(N29,2),LEFT(N29,1)),"")</f>
        <v/>
      </c>
      <c r="BG29" s="132" t="str">
        <f t="shared" ref="BG29" si="167">IF($E30="H",IF(OR(LEFT(O29,1)="T",LEFT(O29,1)="R"),LEFT(O29,2),LEFT(O29,1)),"")</f>
        <v/>
      </c>
      <c r="BH29" s="132" t="str">
        <f t="shared" ref="BH29" si="168">IF($E30="H",IF(OR(LEFT(P29,1)="T",LEFT(P29,1)="R"),LEFT(P29,2),LEFT(P29,1)),"")</f>
        <v/>
      </c>
      <c r="BI29" s="132" t="str">
        <f t="shared" ref="BI29" si="169">IF($E30="H",IF(OR(LEFT(Q29,1)="T",LEFT(Q29,1)="R"),LEFT(Q29,2),LEFT(Q29,1)),"")</f>
        <v/>
      </c>
      <c r="BJ29" s="132" t="str">
        <f t="shared" ref="BJ29" si="170">IF($E30="H",IF(OR(LEFT(R29,1)="T",LEFT(R29,1)="R"),LEFT(R29,2),LEFT(R29,1)),"")</f>
        <v/>
      </c>
      <c r="BK29" s="132" t="str">
        <f t="shared" ref="BK29" si="171">IF($E30="H",IF(OR(LEFT(S29,1)="T",LEFT(S29,1)="R"),LEFT(S29,2),LEFT(S29,1)),"")</f>
        <v/>
      </c>
      <c r="BL29" s="132" t="str">
        <f t="shared" ref="BL29" si="172">IF($E30="H",IF(OR(LEFT(T29,1)="T",LEFT(T29,1)="R"),LEFT(T29,2),LEFT(T29,1)),"")</f>
        <v/>
      </c>
      <c r="BM29" s="132" t="str">
        <f t="shared" ref="BM29" si="173">IF($E30="H",IF(OR(LEFT(U29,1)="T",LEFT(U29,1)="R"),LEFT(U29,2),LEFT(U29,1)),"")</f>
        <v/>
      </c>
      <c r="BN29" s="132" t="str">
        <f t="shared" ref="BN29" si="174">IF($E30="H",IF(OR(LEFT(V29,1)="T",LEFT(V29,1)="R"),LEFT(V29,2),LEFT(V29,1)),"")</f>
        <v/>
      </c>
      <c r="BO29" s="132" t="str">
        <f t="shared" ref="BO29" si="175">IF($E30="H",IF(OR(LEFT(W29,1)="T",LEFT(W29,1)="R"),LEFT(W29,2),LEFT(W29,1)),"")</f>
        <v/>
      </c>
      <c r="BP29" s="132" t="str">
        <f t="shared" ref="BP29" si="176">IF($E30="H",IF(OR(LEFT(X29,1)="T",LEFT(X29,1)="R"),LEFT(X29,2),LEFT(X29,1)),"")</f>
        <v/>
      </c>
      <c r="BQ29" s="132" t="str">
        <f t="shared" ref="BQ29" si="177">IF($E30="H",IF(OR(LEFT(Y29,1)="T",LEFT(Y29,1)="R"),LEFT(Y29,2),LEFT(Y29,1)),"")</f>
        <v/>
      </c>
      <c r="BR29" s="132" t="str">
        <f t="shared" ref="BR29" si="178">IF($E30="H",IF(OR(LEFT(Z29,1)="T",LEFT(Z29,1)="R"),LEFT(Z29,2),LEFT(Z29,1)),"")</f>
        <v/>
      </c>
      <c r="BS29" s="132" t="str">
        <f t="shared" ref="BS29" si="179">IF($E30="H",IF(OR(LEFT(AA29,1)="T",LEFT(AA29,1)="R"),LEFT(AA29,2),LEFT(AA29,1)),"")</f>
        <v/>
      </c>
      <c r="BU29" s="144" t="str">
        <f t="shared" ref="BU29" si="180">IF(OR(LEFT(AB29,2)="PL",LEFT(AC29,2)="PL",LEFT(AD29,2)="PL",LEFT(AE29,2)="PL",LEFT(AF29,2)="PL"),IF($AS$17-AR29&gt;$BU$17,"X",""),"")</f>
        <v/>
      </c>
      <c r="BV29" s="144"/>
      <c r="BW29" s="135">
        <f t="shared" ref="BW29" si="181">IF(COUNTIF(BY29:CC29,BY29)&gt;1,1,IF(COUNTIF(BY29:CC29,BZ29)&gt;1,2,IF(COUNTIF(BY29:CC29,CA29)&gt;1,3,IF(COUNTIF(BY29:CC29,CB29)&gt;1,4,IF(COUNTIF(BY29:CC29,CC29)&gt;1,5,"")))))</f>
        <v>1</v>
      </c>
      <c r="BX29" s="135">
        <f t="shared" ref="BX29" si="182">IF(COUNTIF(BY29:CC29,CC29)&gt;1,5,IF(COUNTIF(BY29:CC29,CB29)&gt;1,4,IF(COUNTIF(BY29:CC29,CA29)&gt;1,3,IF(COUNTIF(BY29:CC29,BZ29)&gt;1,2,IF(COUNTIF(BY29:CC29,BY29)&gt;1,1,"")))))</f>
        <v>5</v>
      </c>
      <c r="BY29" s="132" t="str">
        <f t="shared" ref="BY29" si="183">IFERROR(IF($E30="H",IF(AB29="",BY$18,IF(ISNUMBER(_xlfn.NUMBERVALUE(LEFT(AB29,1))),MID(AB29,2,2),LEFT(AB29,2))),""),"")</f>
        <v/>
      </c>
      <c r="BZ29" s="132" t="str">
        <f t="shared" ref="BZ29" si="184">IFERROR(IF($E30="H",IF(AC29="",BZ$18,IF(ISNUMBER(_xlfn.NUMBERVALUE(LEFT(AC29,1))),MID(AC29,2,2),LEFT(AC29,2))),""),"")</f>
        <v/>
      </c>
      <c r="CA29" s="132" t="str">
        <f t="shared" ref="CA29" si="185">IFERROR(IF($E30="H",IF(AD29="",CA$18,IF(ISNUMBER(_xlfn.NUMBERVALUE(LEFT(AD29,1))),MID(AD29,2,2),LEFT(AD29,2))),""),"")</f>
        <v/>
      </c>
      <c r="CB29" s="132" t="str">
        <f t="shared" ref="CB29" si="186">IFERROR(IF($E30="H",IF(AE29="",CB$18,IF(ISNUMBER(_xlfn.NUMBERVALUE(LEFT(AE29,1))),MID(AE29,2,2),LEFT(AE29,2))),""),"")</f>
        <v/>
      </c>
      <c r="CC29" s="132" t="str">
        <f t="shared" ref="CC29" si="187">IFERROR(IF($E30="H",IF(AF29="",CC$18,IF(ISNUMBER(_xlfn.NUMBERVALUE(LEFT(AF29,1))),MID(AF29,2,2),LEFT(AF29,2))),""),"")</f>
        <v/>
      </c>
      <c r="CE29" s="135" t="str">
        <f t="shared" ref="CE29" si="188">IF(E30=3,_xlfn.NUMBERVALUE(LEFT(J29,1)),"")</f>
        <v/>
      </c>
    </row>
    <row r="30" spans="1:83" ht="12.95" x14ac:dyDescent="0.2">
      <c r="A30" s="42"/>
      <c r="B30" s="43"/>
      <c r="C30" s="43"/>
      <c r="D30" s="43"/>
      <c r="E30" s="21" t="str">
        <f t="shared" ref="E30" si="189">IF(F29="Acrobatic","PA",IF(F29="Acrobatic Airborn","A",IF(F29="Acrobatic Balance","B",IF(F29="Acrobatic Combined","C",IF(F29="Acrobatic Platform","P",IF(F29="Technical Required Element",3,IF(LEFT(F29,4)="Hybr","H","")))))))</f>
        <v/>
      </c>
      <c r="F30" s="21" t="str">
        <f>IF(OR(F29="Acrobatic Airborn",F29="Acrobatic Balance",F29="Acrobatic Combined",F29="Acrobatic Platform"),"Acrobatic",IF(AND(F29="Hybrid - Thrust",AU29="X"),"Hybrid - Thrust - X",IF(AND(F29="Hybrid - 720",AU29="X"),"Hybrid - 720 - X","")))</f>
        <v/>
      </c>
      <c r="G30" s="45"/>
      <c r="H30" s="68" t="str">
        <f t="shared" si="2"/>
        <v/>
      </c>
      <c r="I30" s="69"/>
      <c r="J30" s="16">
        <f>IFERROR(IF($E30="",0,IF(AND($E30="H",$F$8&lt;&gt;"Acrobatic"),VLOOKUP(J29,HybridDDX,2,FALSE),IF($E30="PA",VLOOKUP(J29,AcroPairDDX,2,FALSE),IF(OR($E30="A",$E30="B",$E30="C",$E30="P"),0,IF($E30=3,VLOOKUP(J29,TreDDX,2,FALSE),0))))),0)</f>
        <v>0</v>
      </c>
      <c r="K30" s="16">
        <f>IFERROR(IF($E30="",0,IF(AND($E30="H",$F$8&lt;&gt;"Acrobatic"),VLOOKUP(K29,HybridDDX,2,FALSE),IF($E30="PA",0,IF($E30="A",SUMPRODUCT(--EXACT(K29,AcroADD2),AcroADD2X),IF($E30="B",SUMPRODUCT(--EXACT(K29,AcroBDD2),AcroBDD2X),IF($E30="C",SUMPRODUCT(--EXACT(K29,AcroCDD2),AcroCDD2X),IF($E30="P",SUMPRODUCT(--EXACT(K29,AcroPDD2),AcroPDD2X),IF($E30=3,0,0)))))))),0)</f>
        <v>0</v>
      </c>
      <c r="L30" s="16">
        <f t="array" ref="L30">IFERROR(IF($E30="",0,IF(AND($E30="H",$F$8&lt;&gt;"Acrobatic"),VLOOKUP(L29,HybridDDX,2,FALSE),IF($E30="PA",0,IF($E30="A",SUMPRODUCT(--EXACT(L29,AcroADD3),AcroADD3X),IF($E30="B",SUMPRODUCT(--EXACT(CONCATENATE(LEN(L29),L29),AcroBDD3W),AcroBDD3X),IF($E30="C",SUMPRODUCT(--EXACT(L29,AcroCDD3),AcroCDD3X),IF($E30="P",SUMPRODUCT(--EXACT(L29,AcroPDD3),AcroPDD3X),IF($E30=3,0,0)))))))),0)</f>
        <v>0</v>
      </c>
      <c r="M30" s="16">
        <f>IFERROR(IF($E30="",0,IF(AND($E30="H",$F$8&lt;&gt;"Acrobatic"),VLOOKUP(M29,HybridDDX,2,FALSE),IF($E30="PA",0,IF($E30="A",SUMPRODUCT(--EXACT(M29,AcroADD4p1),AcroADD4p1X),IF($E30="B",SUMPRODUCT(--EXACT(M29,AcroBDD4p1),AcroBDD4p1X),IF($E30="C",SUMPRODUCT(--EXACT(M29,AcroCDD4p1),AcroCDD4p1X),IF($E30="P",SUMPRODUCT(--EXACT(M29,AcroPDD4p1),AcroPDD4p1X),IF($E30=3,0,0)))))))),0)</f>
        <v>0</v>
      </c>
      <c r="N30" s="16">
        <f>IFERROR(IF($E30="",0,IF(AND($E30="H",$F$8&lt;&gt;"Acrobatic"),VLOOKUP(N29,HybridDDX,2,FALSE),IF($E30="PA",0,IF($E30="A",SUMPRODUCT(--EXACT(N29,AcroADD4p2),AcroADD4p2X),IF($E30="B",SUMPRODUCT(--EXACT(N29,AcroBDD4p2),AcroBDD4p2X),IF($E30="C",SUMPRODUCT(--EXACT(N29,AcroCDD4p2),AcroCDD4p2X),IF($E30="P",SUMPRODUCT(--EXACT(N29,AcroPDD4p2),AcroPDD4p2X),IF($E30=3,0,0)))))))),0)</f>
        <v>0</v>
      </c>
      <c r="O30" s="16">
        <f>IFERROR(IF($E30="",0,IF(AND($E30="H",$F$8&lt;&gt;"Acrobatic"),VLOOKUP(O29,HybridDDX,2,FALSE),IF($E30="PA",0,IF($E30="A",SUMPRODUCT(--EXACT(O29,AcroADD5),AcroADD5X),IF($E30="B",SUMPRODUCT(--EXACT(O29,AcroBDD5),AcroBDD5X),IF($E30="C",SUMPRODUCT(--EXACT(O29,AcroCDD5),AcroCDD5X),IF($E30="P",SUMPRODUCT(--EXACT(O29,AcroPDD5),AcroPDD5X),IF($E30=3,0,0)))))))),0)</f>
        <v>0</v>
      </c>
      <c r="P30" s="16">
        <f>IFERROR(IF($E30="",0,IF(AND($E30="H",$F$8&lt;&gt;"Acrobatic"),VLOOKUP(P29,HybridDDX,2,FALSE),IF($E30="C",SUMPRODUCT(--EXACT(P29,AcroCDD6),AcroCDD6X),0))),0)</f>
        <v>0</v>
      </c>
      <c r="Q30" s="16">
        <f t="shared" ref="Q30:AA30" si="190">IFERROR(IF($E30="",0,IF(AND($E30="H",$F$8&lt;&gt;"Acrobatic"),VLOOKUP(Q29,HybridDDX,2,FALSE),0)),0)</f>
        <v>0</v>
      </c>
      <c r="R30" s="16">
        <f t="shared" si="190"/>
        <v>0</v>
      </c>
      <c r="S30" s="16">
        <f t="shared" si="190"/>
        <v>0</v>
      </c>
      <c r="T30" s="16">
        <f t="shared" si="190"/>
        <v>0</v>
      </c>
      <c r="U30" s="16">
        <f t="shared" si="190"/>
        <v>0</v>
      </c>
      <c r="V30" s="16">
        <f t="shared" si="190"/>
        <v>0</v>
      </c>
      <c r="W30" s="16">
        <f t="shared" si="190"/>
        <v>0</v>
      </c>
      <c r="X30" s="16">
        <f t="shared" si="190"/>
        <v>0</v>
      </c>
      <c r="Y30" s="16">
        <f t="shared" si="190"/>
        <v>0</v>
      </c>
      <c r="Z30" s="16">
        <f t="shared" si="190"/>
        <v>0</v>
      </c>
      <c r="AA30" s="16">
        <f t="shared" si="190"/>
        <v>0</v>
      </c>
      <c r="AB30" s="28">
        <f>IFERROR(IF($E30="",0,IF(AND($E30="H",$F$8&lt;&gt;"Acrobatic"),VLOOKUP(AB29,BonusDDX,2,FALSE),IF($E30="A",VLOOKUP(AB29,AcroABonusX,2,FALSE),IF($E30="B",VLOOKUP(AB29,AcroBBonusX,2,FALSE),IF($E30="C",VLOOKUP(AB29,AcroCBonusX,2,FALSE),IF($E30="P",VLOOKUP(AB29,AcroPBonusX,2,FALSE),0)))))),0)</f>
        <v>0</v>
      </c>
      <c r="AC30" s="16">
        <f>IFERROR(IF($E30="",0,IF(AND($E30="H",$F$8&lt;&gt;"Acrobatic"),VLOOKUP(AC29,BonusDDX,2,FALSE),IF($E30="A",VLOOKUP(AC29,AcroABonusX,2,FALSE),IF($E30="B",VLOOKUP(AC29,AcroBBonusX,2,FALSE),IF($E30="C",VLOOKUP(AC29,AcroCBonusX,2,FALSE),IF($E30="P",VLOOKUP(AC29,AcroPBonusX,2,FALSE),0)))))),0)</f>
        <v>0</v>
      </c>
      <c r="AD30" s="16">
        <f>IFERROR(IF($E30="",0,IF(AND($E30="H",$F$8&lt;&gt;"Acrobatic"),VLOOKUP(AD29,BonusDDX,2,FALSE),0)),0)</f>
        <v>0</v>
      </c>
      <c r="AE30" s="16">
        <f>IFERROR(IF($E30="",0,IF(AND($E30="H",$F$8&lt;&gt;"Acrobatic"),VLOOKUP(AE29,BonusDDX,2,FALSE),0)),0)</f>
        <v>0</v>
      </c>
      <c r="AF30" s="46">
        <f>IFERROR(IF($E30="",0,IF(AND($E30="H",$F$8&lt;&gt;"Acrobatic"),VLOOKUP(AF29,BonusDDX,2,FALSE),0)),0)</f>
        <v>0</v>
      </c>
      <c r="AG30" s="71">
        <f t="shared" ref="AG30" si="191">SUM(H30:AF30)</f>
        <v>0</v>
      </c>
      <c r="AH30" s="98"/>
      <c r="AI30" s="98"/>
      <c r="AJ30" s="145"/>
      <c r="AK30" s="145"/>
      <c r="AL30" s="145"/>
      <c r="AM30" s="145"/>
      <c r="AN30" s="145"/>
      <c r="AO30" s="145"/>
      <c r="AP30" s="145"/>
      <c r="AQ30" s="145"/>
      <c r="AR30" s="146" t="str">
        <f>IFERROR(IF($N$7="X",IF(AND(E30="C",AG30&gt;2.45),"X",IF(AND(E30="A",AG30&gt;2.65),"X",IF(AND(E30="B",AG30&gt;2.6),"X",IF(AND(E30="P",AG30&gt;2.5),"X","")))),""),"")</f>
        <v/>
      </c>
      <c r="AS30" s="138"/>
      <c r="AU30" s="132"/>
    </row>
    <row r="31" spans="1:83" ht="12.95" x14ac:dyDescent="0.2">
      <c r="A31" s="42" t="str">
        <f t="shared" ref="A31" si="192">IF(AND(E29="",A29&lt;&gt;""),IF(AS29=$AS$18,"",IF(C29&lt;&gt;"",IF(D29=59,MINUTE(AS29)+1,MINUTE(AS29)),"")),"")</f>
        <v/>
      </c>
      <c r="B31" s="43" t="str">
        <f t="shared" ref="B31" si="193">IF(AND(E29="",B29&lt;&gt;""),IF(AS29=$AS$18,"",IF(C29&lt;&gt;"",IF(D29=59,0,SECOND(AS29)+1),"")),"")</f>
        <v/>
      </c>
      <c r="C31" s="54"/>
      <c r="D31" s="54"/>
      <c r="E31" s="9"/>
      <c r="F31" s="55"/>
      <c r="G31" s="45" t="str">
        <f>IF(F31&lt;&gt;"",IF(OR(F31="Transition",F31="Connected Surface Movment",F31="Cadense"),0,MAX($G$19:G30)+1),"")</f>
        <v/>
      </c>
      <c r="H31" s="68" t="str">
        <f t="shared" ref="H31" si="194">IF(E32=3,"",IF(E32="H","BM",IF(E32="PA",IF(OR(LEFT(J31,1)="L",LEFT(J31,1)="S"),"A-Pair-Lift",IF(OR(LEFT(J31,1)="W",LEFT(J31,1)="T"),"A-Pair-Throw",IF(LEFT(J31,1)="J","A-Pair-Jump","A-Pair"))),IF(OR(E32="A",E32="B",E32="C",E32="P"),CONCATENATE("Acro-",J31),""))))</f>
        <v/>
      </c>
      <c r="I31" s="69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6"/>
      <c r="AC31" s="161"/>
      <c r="AD31" s="161"/>
      <c r="AE31" s="161"/>
      <c r="AF31" s="167"/>
      <c r="AG31" s="47"/>
      <c r="AH31" s="97"/>
      <c r="AI31" s="97"/>
      <c r="AJ31" s="134"/>
      <c r="AK31" s="134"/>
      <c r="AL31" s="134"/>
      <c r="AM31" s="134"/>
      <c r="AN31" s="134"/>
      <c r="AO31" s="134"/>
      <c r="AP31" s="134"/>
      <c r="AQ31" s="134"/>
      <c r="AR31" s="137" t="str">
        <f>IFERROR(TIME(0,A31,B31),"")</f>
        <v/>
      </c>
      <c r="AS31" s="138">
        <f>IFERROR(TIME(0,C31,D31),"")</f>
        <v>0</v>
      </c>
      <c r="AU31" s="132" t="str">
        <f>IF(AND(F31="Hybrid - Thrust",OR(LEFT(J31,1)="T",LEFT(K31,1)="T",LEFT(L31,1)="T",LEFT(JX31,1)="T",LEFT(M31,1)="T",LEFT(N31,1)="T",LEFT(O31,1)="T",LEFT(P31,1)="T",LEFT(Q31,1)="T",LEFT(R31,1)="T",LEFT(S31,1)="T",LEFT(T31,1)="T",LEFT(U31,1)="T",LEFT(V31,1)="T",LEFT(W31,1)="T",LEFT(X31,1)="T",LEFT(Y31,1)="T",LEFT(Z31,1)="T",LEFT(AA31,1)="T")),IF(OR(LEN(J31)=2,LEN(K31)=2,LEN(L31)=2,LEN(M31)=2,LEN(N31)=2,LEN(O31)=2,LEN(P31)=2,LEN(Q31)=2,LEN(R31)=2,LEN(S31)=2,LEN(T31)=2,LEN(U31)=2,LEN(V31)=2,LEN(W31)=2,LEN(X31)=2,LEN(Y31)=2,LEN(Z31)=2,LEN(AA31)=2),"X",""),IF(AND(F31="Hybrid - 720",OR(J31="R3",K31="R3",L31="R3",M31="R3",N31="R3",O31="R3",P31="R3",Q31="R3",R31="R3",S31="R3",T31="R3",U31="R3",V31="R3",W31="R3",X31="R3",Y31="R3",Z31="R3",AA31="R3")),"X",""))</f>
        <v/>
      </c>
      <c r="AW31" s="135">
        <f t="shared" ref="AW31" si="195">COUNTIF(BB31:BS31,"=T1")+COUNTIF(BB31:BS31,"=T2")+COUNTIF(BB31:BS31,"=T3")+COUNTIF(BB31:BS31,"=T4")</f>
        <v>0</v>
      </c>
      <c r="AX31" s="135">
        <f t="shared" ref="AX31" si="196">COUNTIF(BB31:BS31,"=r1")+COUNTIF(BB31:BS31,"=r2")+COUNTIF(BB31:BS31,"=r3")+COUNTIF(BB31:BS31,"=r4")</f>
        <v>0</v>
      </c>
      <c r="AY31" s="135">
        <f t="shared" ref="AY31" si="197">COUNTIF(BB31:BS31,"=A")</f>
        <v>0</v>
      </c>
      <c r="AZ31" s="135">
        <f t="shared" ref="AZ31" si="198">COUNTIF(BB31:BS31,"=F")</f>
        <v>0</v>
      </c>
      <c r="BA31" s="135">
        <f t="shared" ref="BA31" si="199">COUNTIF(BB31:BS31,"=C")</f>
        <v>0</v>
      </c>
      <c r="BB31" s="132" t="str">
        <f t="shared" ref="BB31" si="200">IF($E32="H",IF(OR(LEFT(J31,1)="T",LEFT(J31,1)="R"),LEFT(J31,2),LEFT(J31,1)),"")</f>
        <v/>
      </c>
      <c r="BC31" s="132" t="str">
        <f t="shared" ref="BC31" si="201">IF($E32="H",IF(OR(LEFT(K31,1)="T",LEFT(K31,1)="R"),LEFT(K31,2),LEFT(K31,1)),"")</f>
        <v/>
      </c>
      <c r="BD31" s="132" t="str">
        <f t="shared" ref="BD31" si="202">IF($E32="H",IF(OR(LEFT(L31,1)="T",LEFT(L31,1)="R"),LEFT(L31,2),LEFT(L31,1)),"")</f>
        <v/>
      </c>
      <c r="BE31" s="132" t="str">
        <f t="shared" ref="BE31" si="203">IF($E32="H",IF(OR(LEFT(M31,1)="T",LEFT(M31,1)="R"),LEFT(M31,2),LEFT(M31,1)),"")</f>
        <v/>
      </c>
      <c r="BF31" s="132" t="str">
        <f t="shared" ref="BF31" si="204">IF($E32="H",IF(OR(LEFT(N31,1)="T",LEFT(N31,1)="R"),LEFT(N31,2),LEFT(N31,1)),"")</f>
        <v/>
      </c>
      <c r="BG31" s="132" t="str">
        <f t="shared" ref="BG31" si="205">IF($E32="H",IF(OR(LEFT(O31,1)="T",LEFT(O31,1)="R"),LEFT(O31,2),LEFT(O31,1)),"")</f>
        <v/>
      </c>
      <c r="BH31" s="132" t="str">
        <f t="shared" ref="BH31" si="206">IF($E32="H",IF(OR(LEFT(P31,1)="T",LEFT(P31,1)="R"),LEFT(P31,2),LEFT(P31,1)),"")</f>
        <v/>
      </c>
      <c r="BI31" s="132" t="str">
        <f t="shared" ref="BI31" si="207">IF($E32="H",IF(OR(LEFT(Q31,1)="T",LEFT(Q31,1)="R"),LEFT(Q31,2),LEFT(Q31,1)),"")</f>
        <v/>
      </c>
      <c r="BJ31" s="132" t="str">
        <f t="shared" ref="BJ31" si="208">IF($E32="H",IF(OR(LEFT(R31,1)="T",LEFT(R31,1)="R"),LEFT(R31,2),LEFT(R31,1)),"")</f>
        <v/>
      </c>
      <c r="BK31" s="132" t="str">
        <f t="shared" ref="BK31" si="209">IF($E32="H",IF(OR(LEFT(S31,1)="T",LEFT(S31,1)="R"),LEFT(S31,2),LEFT(S31,1)),"")</f>
        <v/>
      </c>
      <c r="BL31" s="132" t="str">
        <f t="shared" ref="BL31" si="210">IF($E32="H",IF(OR(LEFT(T31,1)="T",LEFT(T31,1)="R"),LEFT(T31,2),LEFT(T31,1)),"")</f>
        <v/>
      </c>
      <c r="BM31" s="132" t="str">
        <f t="shared" ref="BM31" si="211">IF($E32="H",IF(OR(LEFT(U31,1)="T",LEFT(U31,1)="R"),LEFT(U31,2),LEFT(U31,1)),"")</f>
        <v/>
      </c>
      <c r="BN31" s="132" t="str">
        <f t="shared" ref="BN31" si="212">IF($E32="H",IF(OR(LEFT(V31,1)="T",LEFT(V31,1)="R"),LEFT(V31,2),LEFT(V31,1)),"")</f>
        <v/>
      </c>
      <c r="BO31" s="132" t="str">
        <f t="shared" ref="BO31" si="213">IF($E32="H",IF(OR(LEFT(W31,1)="T",LEFT(W31,1)="R"),LEFT(W31,2),LEFT(W31,1)),"")</f>
        <v/>
      </c>
      <c r="BP31" s="132" t="str">
        <f t="shared" ref="BP31" si="214">IF($E32="H",IF(OR(LEFT(X31,1)="T",LEFT(X31,1)="R"),LEFT(X31,2),LEFT(X31,1)),"")</f>
        <v/>
      </c>
      <c r="BQ31" s="132" t="str">
        <f t="shared" ref="BQ31" si="215">IF($E32="H",IF(OR(LEFT(Y31,1)="T",LEFT(Y31,1)="R"),LEFT(Y31,2),LEFT(Y31,1)),"")</f>
        <v/>
      </c>
      <c r="BR31" s="132" t="str">
        <f t="shared" ref="BR31" si="216">IF($E32="H",IF(OR(LEFT(Z31,1)="T",LEFT(Z31,1)="R"),LEFT(Z31,2),LEFT(Z31,1)),"")</f>
        <v/>
      </c>
      <c r="BS31" s="132" t="str">
        <f t="shared" ref="BS31" si="217">IF($E32="H",IF(OR(LEFT(AA31,1)="T",LEFT(AA31,1)="R"),LEFT(AA31,2),LEFT(AA31,1)),"")</f>
        <v/>
      </c>
      <c r="BU31" s="144" t="str">
        <f t="shared" ref="BU31" si="218">IF(OR(LEFT(AB31,2)="PL",LEFT(AC31,2)="PL",LEFT(AD31,2)="PL",LEFT(AE31,2)="PL",LEFT(AF31,2)="PL"),IF($AS$17-AR31&gt;$BU$17,"X",""),"")</f>
        <v/>
      </c>
      <c r="BV31" s="144"/>
      <c r="BW31" s="135">
        <f t="shared" ref="BW31" si="219">IF(COUNTIF(BY31:CC31,BY31)&gt;1,1,IF(COUNTIF(BY31:CC31,BZ31)&gt;1,2,IF(COUNTIF(BY31:CC31,CA31)&gt;1,3,IF(COUNTIF(BY31:CC31,CB31)&gt;1,4,IF(COUNTIF(BY31:CC31,CC31)&gt;1,5,"")))))</f>
        <v>1</v>
      </c>
      <c r="BX31" s="135">
        <f t="shared" ref="BX31" si="220">IF(COUNTIF(BY31:CC31,CC31)&gt;1,5,IF(COUNTIF(BY31:CC31,CB31)&gt;1,4,IF(COUNTIF(BY31:CC31,CA31)&gt;1,3,IF(COUNTIF(BY31:CC31,BZ31)&gt;1,2,IF(COUNTIF(BY31:CC31,BY31)&gt;1,1,"")))))</f>
        <v>5</v>
      </c>
      <c r="BY31" s="132" t="str">
        <f t="shared" ref="BY31" si="221">IFERROR(IF($E32="H",IF(AB31="",BY$18,IF(ISNUMBER(_xlfn.NUMBERVALUE(LEFT(AB31,1))),MID(AB31,2,2),LEFT(AB31,2))),""),"")</f>
        <v/>
      </c>
      <c r="BZ31" s="132" t="str">
        <f t="shared" ref="BZ31" si="222">IFERROR(IF($E32="H",IF(AC31="",BZ$18,IF(ISNUMBER(_xlfn.NUMBERVALUE(LEFT(AC31,1))),MID(AC31,2,2),LEFT(AC31,2))),""),"")</f>
        <v/>
      </c>
      <c r="CA31" s="132" t="str">
        <f t="shared" ref="CA31" si="223">IFERROR(IF($E32="H",IF(AD31="",CA$18,IF(ISNUMBER(_xlfn.NUMBERVALUE(LEFT(AD31,1))),MID(AD31,2,2),LEFT(AD31,2))),""),"")</f>
        <v/>
      </c>
      <c r="CB31" s="132" t="str">
        <f t="shared" ref="CB31" si="224">IFERROR(IF($E32="H",IF(AE31="",CB$18,IF(ISNUMBER(_xlfn.NUMBERVALUE(LEFT(AE31,1))),MID(AE31,2,2),LEFT(AE31,2))),""),"")</f>
        <v/>
      </c>
      <c r="CC31" s="132" t="str">
        <f t="shared" ref="CC31" si="225">IFERROR(IF($E32="H",IF(AF31="",CC$18,IF(ISNUMBER(_xlfn.NUMBERVALUE(LEFT(AF31,1))),MID(AF31,2,2),LEFT(AF31,2))),""),"")</f>
        <v/>
      </c>
      <c r="CE31" s="135" t="str">
        <f t="shared" ref="CE31" si="226">IF(E32=3,_xlfn.NUMBERVALUE(LEFT(J31,1)),"")</f>
        <v/>
      </c>
    </row>
    <row r="32" spans="1:83" ht="12.95" x14ac:dyDescent="0.2">
      <c r="A32" s="42"/>
      <c r="B32" s="43"/>
      <c r="C32" s="43"/>
      <c r="D32" s="43"/>
      <c r="E32" s="21" t="str">
        <f t="shared" ref="E32" si="227">IF(F31="Acrobatic","PA",IF(F31="Acrobatic Airborn","A",IF(F31="Acrobatic Balance","B",IF(F31="Acrobatic Combined","C",IF(F31="Acrobatic Platform","P",IF(F31="Technical Required Element",3,IF(LEFT(F31,4)="Hybr","H","")))))))</f>
        <v/>
      </c>
      <c r="F32" s="21" t="str">
        <f>IF(OR(F31="Acrobatic Airborn",F31="Acrobatic Balance",F31="Acrobatic Combined",F31="Acrobatic Platform"),"Acrobatic",IF(AND(F31="Hybrid - Thrust",AU31="X"),"Hybrid - Thrust - X",IF(AND(F31="Hybrid - 720",AU31="X"),"Hybrid - 720 - X","")))</f>
        <v/>
      </c>
      <c r="G32" s="45"/>
      <c r="H32" s="68" t="str">
        <f t="shared" si="2"/>
        <v/>
      </c>
      <c r="I32" s="69"/>
      <c r="J32" s="16">
        <f>IFERROR(IF($E32="",0,IF(AND($E32="H",$F$8&lt;&gt;"Acrobatic"),VLOOKUP(J31,HybridDDX,2,FALSE),IF($E32="PA",VLOOKUP(J31,AcroPairDDX,2,FALSE),IF(OR($E32="A",$E32="B",$E32="C",$E32="P"),0,IF($E32=3,VLOOKUP(J31,TreDDX,2,FALSE),0))))),0)</f>
        <v>0</v>
      </c>
      <c r="K32" s="16">
        <f>IFERROR(IF($E32="",0,IF(AND($E32="H",$F$8&lt;&gt;"Acrobatic"),VLOOKUP(K31,HybridDDX,2,FALSE),IF($E32="PA",0,IF($E32="A",SUMPRODUCT(--EXACT(K31,AcroADD2),AcroADD2X),IF($E32="B",SUMPRODUCT(--EXACT(K31,AcroBDD2),AcroBDD2X),IF($E32="C",SUMPRODUCT(--EXACT(K31,AcroCDD2),AcroCDD2X),IF($E32="P",SUMPRODUCT(--EXACT(K31,AcroPDD2),AcroPDD2X),IF($E32=3,0,0)))))))),0)</f>
        <v>0</v>
      </c>
      <c r="L32" s="16">
        <f t="array" ref="L32">IFERROR(IF($E32="",0,IF(AND($E32="H",$F$8&lt;&gt;"Acrobatic"),VLOOKUP(L31,HybridDDX,2,FALSE),IF($E32="PA",0,IF($E32="A",SUMPRODUCT(--EXACT(L31,AcroADD3),AcroADD3X),IF($E32="B",SUMPRODUCT(--EXACT(CONCATENATE(LEN(L31),L31),AcroBDD3W),AcroBDD3X),IF($E32="C",SUMPRODUCT(--EXACT(L31,AcroCDD3),AcroCDD3X),IF($E32="P",SUMPRODUCT(--EXACT(L31,AcroPDD3),AcroPDD3X),IF($E32=3,0,0)))))))),0)</f>
        <v>0</v>
      </c>
      <c r="M32" s="16">
        <f>IFERROR(IF($E32="",0,IF(AND($E32="H",$F$8&lt;&gt;"Acrobatic"),VLOOKUP(M31,HybridDDX,2,FALSE),IF($E32="PA",0,IF($E32="A",SUMPRODUCT(--EXACT(M31,AcroADD4p1),AcroADD4p1X),IF($E32="B",SUMPRODUCT(--EXACT(M31,AcroBDD4p1),AcroBDD4p1X),IF($E32="C",SUMPRODUCT(--EXACT(M31,AcroCDD4p1),AcroCDD4p1X),IF($E32="P",SUMPRODUCT(--EXACT(M31,AcroPDD4p1),AcroPDD4p1X),IF($E32=3,0,0)))))))),0)</f>
        <v>0</v>
      </c>
      <c r="N32" s="16">
        <f>IFERROR(IF($E32="",0,IF(AND($E32="H",$F$8&lt;&gt;"Acrobatic"),VLOOKUP(N31,HybridDDX,2,FALSE),IF($E32="PA",0,IF($E32="A",SUMPRODUCT(--EXACT(N31,AcroADD4p2),AcroADD4p2X),IF($E32="B",SUMPRODUCT(--EXACT(N31,AcroBDD4p2),AcroBDD4p2X),IF($E32="C",SUMPRODUCT(--EXACT(N31,AcroCDD4p2),AcroCDD4p2X),IF($E32="P",SUMPRODUCT(--EXACT(N31,AcroPDD4p2),AcroPDD4p2X),IF($E32=3,0,0)))))))),0)</f>
        <v>0</v>
      </c>
      <c r="O32" s="16">
        <f>IFERROR(IF($E32="",0,IF(AND($E32="H",$F$8&lt;&gt;"Acrobatic"),VLOOKUP(O31,HybridDDX,2,FALSE),IF($E32="PA",0,IF($E32="A",SUMPRODUCT(--EXACT(O31,AcroADD5),AcroADD5X),IF($E32="B",SUMPRODUCT(--EXACT(O31,AcroBDD5),AcroBDD5X),IF($E32="C",SUMPRODUCT(--EXACT(O31,AcroCDD5),AcroCDD5X),IF($E32="P",SUMPRODUCT(--EXACT(O31,AcroPDD5),AcroPDD5X),IF($E32=3,0,0)))))))),0)</f>
        <v>0</v>
      </c>
      <c r="P32" s="16">
        <f>IFERROR(IF($E32="",0,IF(AND($E32="H",$F$8&lt;&gt;"Acrobatic"),VLOOKUP(P31,HybridDDX,2,FALSE),IF($E32="C",SUMPRODUCT(--EXACT(P31,AcroCDD6),AcroCDD6X),0))),0)</f>
        <v>0</v>
      </c>
      <c r="Q32" s="16">
        <f t="shared" ref="Q32:AA32" si="228">IFERROR(IF($E32="",0,IF(AND($E32="H",$F$8&lt;&gt;"Acrobatic"),VLOOKUP(Q31,HybridDDX,2,FALSE),0)),0)</f>
        <v>0</v>
      </c>
      <c r="R32" s="16">
        <f t="shared" si="228"/>
        <v>0</v>
      </c>
      <c r="S32" s="16">
        <f t="shared" si="228"/>
        <v>0</v>
      </c>
      <c r="T32" s="16">
        <f t="shared" si="228"/>
        <v>0</v>
      </c>
      <c r="U32" s="16">
        <f t="shared" si="228"/>
        <v>0</v>
      </c>
      <c r="V32" s="16">
        <f t="shared" si="228"/>
        <v>0</v>
      </c>
      <c r="W32" s="16">
        <f t="shared" si="228"/>
        <v>0</v>
      </c>
      <c r="X32" s="16">
        <f t="shared" si="228"/>
        <v>0</v>
      </c>
      <c r="Y32" s="16">
        <f t="shared" si="228"/>
        <v>0</v>
      </c>
      <c r="Z32" s="16">
        <f t="shared" si="228"/>
        <v>0</v>
      </c>
      <c r="AA32" s="16">
        <f t="shared" si="228"/>
        <v>0</v>
      </c>
      <c r="AB32" s="28">
        <f>IFERROR(IF($E32="",0,IF(AND($E32="H",$F$8&lt;&gt;"Acrobatic"),VLOOKUP(AB31,BonusDDX,2,FALSE),IF($E32="A",VLOOKUP(AB31,AcroABonusX,2,FALSE),IF($E32="B",VLOOKUP(AB31,AcroBBonusX,2,FALSE),IF($E32="C",VLOOKUP(AB31,AcroCBonusX,2,FALSE),IF($E32="P",VLOOKUP(AB31,AcroPBonusX,2,FALSE),0)))))),0)</f>
        <v>0</v>
      </c>
      <c r="AC32" s="16">
        <f>IFERROR(IF($E32="",0,IF(AND($E32="H",$F$8&lt;&gt;"Acrobatic"),VLOOKUP(AC31,BonusDDX,2,FALSE),IF($E32="A",VLOOKUP(AC31,AcroABonusX,2,FALSE),IF($E32="B",VLOOKUP(AC31,AcroBBonusX,2,FALSE),IF($E32="C",VLOOKUP(AC31,AcroCBonusX,2,FALSE),IF($E32="P",VLOOKUP(AC31,AcroPBonusX,2,FALSE),0)))))),0)</f>
        <v>0</v>
      </c>
      <c r="AD32" s="16">
        <f>IFERROR(IF($E32="",0,IF(AND($E32="H",$F$8&lt;&gt;"Acrobatic"),VLOOKUP(AD31,BonusDDX,2,FALSE),0)),0)</f>
        <v>0</v>
      </c>
      <c r="AE32" s="16">
        <f>IFERROR(IF($E32="",0,IF(AND($E32="H",$F$8&lt;&gt;"Acrobatic"),VLOOKUP(AE31,BonusDDX,2,FALSE),0)),0)</f>
        <v>0</v>
      </c>
      <c r="AF32" s="46">
        <f>IFERROR(IF($E32="",0,IF(AND($E32="H",$F$8&lt;&gt;"Acrobatic"),VLOOKUP(AF31,BonusDDX,2,FALSE),0)),0)</f>
        <v>0</v>
      </c>
      <c r="AG32" s="71">
        <f t="shared" ref="AG32" si="229">SUM(H32:AF32)</f>
        <v>0</v>
      </c>
      <c r="AH32" s="98"/>
      <c r="AI32" s="98"/>
      <c r="AJ32" s="145"/>
      <c r="AK32" s="145"/>
      <c r="AL32" s="145"/>
      <c r="AM32" s="145"/>
      <c r="AN32" s="145"/>
      <c r="AO32" s="145"/>
      <c r="AP32" s="145"/>
      <c r="AQ32" s="145"/>
      <c r="AR32" s="146" t="str">
        <f>IFERROR(IF($N$7="X",IF(AND(E32="C",AG32&gt;2.45),"X",IF(AND(E32="A",AG32&gt;2.65),"X",IF(AND(E32="B",AG32&gt;2.6),"X",IF(AND(E32="P",AG32&gt;2.5),"X","")))),""),"")</f>
        <v/>
      </c>
      <c r="AS32" s="138"/>
      <c r="AU32" s="132"/>
    </row>
    <row r="33" spans="1:83" ht="12.95" x14ac:dyDescent="0.2">
      <c r="A33" s="42" t="str">
        <f t="shared" ref="A33" si="230">IF(AND(E31="",A31&lt;&gt;""),IF(AS31=$AS$18,"",IF(C31&lt;&gt;"",IF(D31=59,MINUTE(AS31)+1,MINUTE(AS31)),"")),"")</f>
        <v/>
      </c>
      <c r="B33" s="43" t="str">
        <f t="shared" ref="B33" si="231">IF(AND(E31="",B31&lt;&gt;""),IF(AS31=$AS$18,"",IF(C31&lt;&gt;"",IF(D31=59,0,SECOND(AS31)+1),"")),"")</f>
        <v/>
      </c>
      <c r="C33" s="54"/>
      <c r="D33" s="54"/>
      <c r="E33" s="9"/>
      <c r="F33" s="55"/>
      <c r="G33" s="45" t="str">
        <f>IF(F33&lt;&gt;"",IF(OR(F33="Transition",F33="Connected Surface Movment",F33="Cadense"),0,MAX($G$19:G32)+1),"")</f>
        <v/>
      </c>
      <c r="H33" s="68" t="str">
        <f t="shared" ref="H33" si="232">IF(E34=3,"",IF(E34="H","BM",IF(E34="PA",IF(OR(LEFT(J33,1)="L",LEFT(J33,1)="S"),"A-Pair-Lift",IF(OR(LEFT(J33,1)="W",LEFT(J33,1)="T"),"A-Pair-Throw",IF(LEFT(J33,1)="J","A-Pair-Jump","A-Pair"))),IF(OR(E34="A",E34="B",E34="C",E34="P"),CONCATENATE("Acro-",J33),""))))</f>
        <v/>
      </c>
      <c r="I33" s="69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6"/>
      <c r="AC33" s="161"/>
      <c r="AD33" s="161"/>
      <c r="AE33" s="161"/>
      <c r="AF33" s="167"/>
      <c r="AG33" s="47"/>
      <c r="AH33" s="97"/>
      <c r="AI33" s="97"/>
      <c r="AJ33" s="134"/>
      <c r="AK33" s="134"/>
      <c r="AL33" s="134"/>
      <c r="AM33" s="134"/>
      <c r="AN33" s="134"/>
      <c r="AO33" s="134"/>
      <c r="AP33" s="134"/>
      <c r="AQ33" s="134"/>
      <c r="AR33" s="137" t="str">
        <f>IFERROR(TIME(0,A33,B33),"")</f>
        <v/>
      </c>
      <c r="AS33" s="138">
        <f>IFERROR(TIME(0,C33,D33),"")</f>
        <v>0</v>
      </c>
      <c r="AU33" s="132" t="str">
        <f>IF(AND(F33="Hybrid - Thrust",OR(LEFT(J33,1)="T",LEFT(K33,1)="T",LEFT(L33,1)="T",LEFT(JX33,1)="T",LEFT(M33,1)="T",LEFT(N33,1)="T",LEFT(O33,1)="T",LEFT(P33,1)="T",LEFT(Q33,1)="T",LEFT(R33,1)="T",LEFT(S33,1)="T",LEFT(T33,1)="T",LEFT(U33,1)="T",LEFT(V33,1)="T",LEFT(W33,1)="T",LEFT(X33,1)="T",LEFT(Y33,1)="T",LEFT(Z33,1)="T",LEFT(AA33,1)="T")),IF(OR(LEN(J33)=2,LEN(K33)=2,LEN(L33)=2,LEN(M33)=2,LEN(N33)=2,LEN(O33)=2,LEN(P33)=2,LEN(Q33)=2,LEN(R33)=2,LEN(S33)=2,LEN(T33)=2,LEN(U33)=2,LEN(V33)=2,LEN(W33)=2,LEN(X33)=2,LEN(Y33)=2,LEN(Z33)=2,LEN(AA33)=2),"X",""),IF(AND(F33="Hybrid - 720",OR(J33="R3",K33="R3",L33="R3",M33="R3",N33="R3",O33="R3",P33="R3",Q33="R3",R33="R3",S33="R3",T33="R3",U33="R3",V33="R3",W33="R3",X33="R3",Y33="R3",Z33="R3",AA33="R3")),"X",""))</f>
        <v/>
      </c>
      <c r="AW33" s="135">
        <f t="shared" ref="AW33" si="233">COUNTIF(BB33:BS33,"=T1")+COUNTIF(BB33:BS33,"=T2")+COUNTIF(BB33:BS33,"=T3")+COUNTIF(BB33:BS33,"=T4")</f>
        <v>0</v>
      </c>
      <c r="AX33" s="135">
        <f t="shared" ref="AX33" si="234">COUNTIF(BB33:BS33,"=r1")+COUNTIF(BB33:BS33,"=r2")+COUNTIF(BB33:BS33,"=r3")+COUNTIF(BB33:BS33,"=r4")</f>
        <v>0</v>
      </c>
      <c r="AY33" s="135">
        <f t="shared" ref="AY33" si="235">COUNTIF(BB33:BS33,"=A")</f>
        <v>0</v>
      </c>
      <c r="AZ33" s="135">
        <f t="shared" ref="AZ33" si="236">COUNTIF(BB33:BS33,"=F")</f>
        <v>0</v>
      </c>
      <c r="BA33" s="135">
        <f t="shared" ref="BA33" si="237">COUNTIF(BB33:BS33,"=C")</f>
        <v>0</v>
      </c>
      <c r="BB33" s="132" t="str">
        <f t="shared" ref="BB33" si="238">IF($E34="H",IF(OR(LEFT(J33,1)="T",LEFT(J33,1)="R"),LEFT(J33,2),LEFT(J33,1)),"")</f>
        <v/>
      </c>
      <c r="BC33" s="132" t="str">
        <f t="shared" ref="BC33" si="239">IF($E34="H",IF(OR(LEFT(K33,1)="T",LEFT(K33,1)="R"),LEFT(K33,2),LEFT(K33,1)),"")</f>
        <v/>
      </c>
      <c r="BD33" s="132" t="str">
        <f t="shared" ref="BD33" si="240">IF($E34="H",IF(OR(LEFT(L33,1)="T",LEFT(L33,1)="R"),LEFT(L33,2),LEFT(L33,1)),"")</f>
        <v/>
      </c>
      <c r="BE33" s="132" t="str">
        <f t="shared" ref="BE33" si="241">IF($E34="H",IF(OR(LEFT(M33,1)="T",LEFT(M33,1)="R"),LEFT(M33,2),LEFT(M33,1)),"")</f>
        <v/>
      </c>
      <c r="BF33" s="132" t="str">
        <f t="shared" ref="BF33" si="242">IF($E34="H",IF(OR(LEFT(N33,1)="T",LEFT(N33,1)="R"),LEFT(N33,2),LEFT(N33,1)),"")</f>
        <v/>
      </c>
      <c r="BG33" s="132" t="str">
        <f t="shared" ref="BG33" si="243">IF($E34="H",IF(OR(LEFT(O33,1)="T",LEFT(O33,1)="R"),LEFT(O33,2),LEFT(O33,1)),"")</f>
        <v/>
      </c>
      <c r="BH33" s="132" t="str">
        <f t="shared" ref="BH33" si="244">IF($E34="H",IF(OR(LEFT(P33,1)="T",LEFT(P33,1)="R"),LEFT(P33,2),LEFT(P33,1)),"")</f>
        <v/>
      </c>
      <c r="BI33" s="132" t="str">
        <f t="shared" ref="BI33" si="245">IF($E34="H",IF(OR(LEFT(Q33,1)="T",LEFT(Q33,1)="R"),LEFT(Q33,2),LEFT(Q33,1)),"")</f>
        <v/>
      </c>
      <c r="BJ33" s="132" t="str">
        <f t="shared" ref="BJ33" si="246">IF($E34="H",IF(OR(LEFT(R33,1)="T",LEFT(R33,1)="R"),LEFT(R33,2),LEFT(R33,1)),"")</f>
        <v/>
      </c>
      <c r="BK33" s="132" t="str">
        <f t="shared" ref="BK33" si="247">IF($E34="H",IF(OR(LEFT(S33,1)="T",LEFT(S33,1)="R"),LEFT(S33,2),LEFT(S33,1)),"")</f>
        <v/>
      </c>
      <c r="BL33" s="132" t="str">
        <f t="shared" ref="BL33" si="248">IF($E34="H",IF(OR(LEFT(T33,1)="T",LEFT(T33,1)="R"),LEFT(T33,2),LEFT(T33,1)),"")</f>
        <v/>
      </c>
      <c r="BM33" s="132" t="str">
        <f t="shared" ref="BM33" si="249">IF($E34="H",IF(OR(LEFT(U33,1)="T",LEFT(U33,1)="R"),LEFT(U33,2),LEFT(U33,1)),"")</f>
        <v/>
      </c>
      <c r="BN33" s="132" t="str">
        <f t="shared" ref="BN33" si="250">IF($E34="H",IF(OR(LEFT(V33,1)="T",LEFT(V33,1)="R"),LEFT(V33,2),LEFT(V33,1)),"")</f>
        <v/>
      </c>
      <c r="BO33" s="132" t="str">
        <f t="shared" ref="BO33" si="251">IF($E34="H",IF(OR(LEFT(W33,1)="T",LEFT(W33,1)="R"),LEFT(W33,2),LEFT(W33,1)),"")</f>
        <v/>
      </c>
      <c r="BP33" s="132" t="str">
        <f t="shared" ref="BP33" si="252">IF($E34="H",IF(OR(LEFT(X33,1)="T",LEFT(X33,1)="R"),LEFT(X33,2),LEFT(X33,1)),"")</f>
        <v/>
      </c>
      <c r="BQ33" s="132" t="str">
        <f t="shared" ref="BQ33" si="253">IF($E34="H",IF(OR(LEFT(Y33,1)="T",LEFT(Y33,1)="R"),LEFT(Y33,2),LEFT(Y33,1)),"")</f>
        <v/>
      </c>
      <c r="BR33" s="132" t="str">
        <f t="shared" ref="BR33" si="254">IF($E34="H",IF(OR(LEFT(Z33,1)="T",LEFT(Z33,1)="R"),LEFT(Z33,2),LEFT(Z33,1)),"")</f>
        <v/>
      </c>
      <c r="BS33" s="132" t="str">
        <f t="shared" ref="BS33" si="255">IF($E34="H",IF(OR(LEFT(AA33,1)="T",LEFT(AA33,1)="R"),LEFT(AA33,2),LEFT(AA33,1)),"")</f>
        <v/>
      </c>
      <c r="BU33" s="144" t="str">
        <f t="shared" ref="BU33" si="256">IF(OR(LEFT(AB33,2)="PL",LEFT(AC33,2)="PL",LEFT(AD33,2)="PL",LEFT(AE33,2)="PL",LEFT(AF33,2)="PL"),IF($AS$17-AR33&gt;$BU$17,"X",""),"")</f>
        <v/>
      </c>
      <c r="BV33" s="144"/>
      <c r="BW33" s="135">
        <f t="shared" ref="BW33" si="257">IF(COUNTIF(BY33:CC33,BY33)&gt;1,1,IF(COUNTIF(BY33:CC33,BZ33)&gt;1,2,IF(COUNTIF(BY33:CC33,CA33)&gt;1,3,IF(COUNTIF(BY33:CC33,CB33)&gt;1,4,IF(COUNTIF(BY33:CC33,CC33)&gt;1,5,"")))))</f>
        <v>1</v>
      </c>
      <c r="BX33" s="135">
        <f t="shared" ref="BX33" si="258">IF(COUNTIF(BY33:CC33,CC33)&gt;1,5,IF(COUNTIF(BY33:CC33,CB33)&gt;1,4,IF(COUNTIF(BY33:CC33,CA33)&gt;1,3,IF(COUNTIF(BY33:CC33,BZ33)&gt;1,2,IF(COUNTIF(BY33:CC33,BY33)&gt;1,1,"")))))</f>
        <v>5</v>
      </c>
      <c r="BY33" s="132" t="str">
        <f t="shared" ref="BY33" si="259">IFERROR(IF($E34="H",IF(AB33="",BY$18,IF(ISNUMBER(_xlfn.NUMBERVALUE(LEFT(AB33,1))),MID(AB33,2,2),LEFT(AB33,2))),""),"")</f>
        <v/>
      </c>
      <c r="BZ33" s="132" t="str">
        <f t="shared" ref="BZ33" si="260">IFERROR(IF($E34="H",IF(AC33="",BZ$18,IF(ISNUMBER(_xlfn.NUMBERVALUE(LEFT(AC33,1))),MID(AC33,2,2),LEFT(AC33,2))),""),"")</f>
        <v/>
      </c>
      <c r="CA33" s="132" t="str">
        <f t="shared" ref="CA33" si="261">IFERROR(IF($E34="H",IF(AD33="",CA$18,IF(ISNUMBER(_xlfn.NUMBERVALUE(LEFT(AD33,1))),MID(AD33,2,2),LEFT(AD33,2))),""),"")</f>
        <v/>
      </c>
      <c r="CB33" s="132" t="str">
        <f t="shared" ref="CB33" si="262">IFERROR(IF($E34="H",IF(AE33="",CB$18,IF(ISNUMBER(_xlfn.NUMBERVALUE(LEFT(AE33,1))),MID(AE33,2,2),LEFT(AE33,2))),""),"")</f>
        <v/>
      </c>
      <c r="CC33" s="132" t="str">
        <f t="shared" ref="CC33" si="263">IFERROR(IF($E34="H",IF(AF33="",CC$18,IF(ISNUMBER(_xlfn.NUMBERVALUE(LEFT(AF33,1))),MID(AF33,2,2),LEFT(AF33,2))),""),"")</f>
        <v/>
      </c>
      <c r="CE33" s="135" t="str">
        <f t="shared" ref="CE33" si="264">IF(E34=3,_xlfn.NUMBERVALUE(LEFT(J33,1)),"")</f>
        <v/>
      </c>
    </row>
    <row r="34" spans="1:83" ht="12.95" x14ac:dyDescent="0.2">
      <c r="A34" s="42"/>
      <c r="B34" s="43"/>
      <c r="C34" s="43"/>
      <c r="D34" s="43"/>
      <c r="E34" s="21" t="str">
        <f t="shared" ref="E34" si="265">IF(F33="Acrobatic","PA",IF(F33="Acrobatic Airborn","A",IF(F33="Acrobatic Balance","B",IF(F33="Acrobatic Combined","C",IF(F33="Acrobatic Platform","P",IF(F33="Technical Required Element",3,IF(LEFT(F33,4)="Hybr","H","")))))))</f>
        <v/>
      </c>
      <c r="F34" s="21" t="str">
        <f>IF(OR(F33="Acrobatic Airborn",F33="Acrobatic Balance",F33="Acrobatic Combined",F33="Acrobatic Platform"),"Acrobatic",IF(AND(F33="Hybrid - Thrust",AU33="X"),"Hybrid - Thrust - X",IF(AND(F33="Hybrid - 720",AU33="X"),"Hybrid - 720 - X","")))</f>
        <v/>
      </c>
      <c r="G34" s="45"/>
      <c r="H34" s="68" t="str">
        <f t="shared" si="2"/>
        <v/>
      </c>
      <c r="I34" s="69"/>
      <c r="J34" s="16">
        <f>IFERROR(IF($E34="",0,IF(AND($E34="H",$F$8&lt;&gt;"Acrobatic"),VLOOKUP(J33,HybridDDX,2,FALSE),IF($E34="PA",VLOOKUP(J33,AcroPairDDX,2,FALSE),IF(OR($E34="A",$E34="B",$E34="C",$E34="P"),0,IF($E34=3,VLOOKUP(J33,TreDDX,2,FALSE),0))))),0)</f>
        <v>0</v>
      </c>
      <c r="K34" s="16">
        <f>IFERROR(IF($E34="",0,IF(AND($E34="H",$F$8&lt;&gt;"Acrobatic"),VLOOKUP(K33,HybridDDX,2,FALSE),IF($E34="PA",0,IF($E34="A",SUMPRODUCT(--EXACT(K33,AcroADD2),AcroADD2X),IF($E34="B",SUMPRODUCT(--EXACT(K33,AcroBDD2),AcroBDD2X),IF($E34="C",SUMPRODUCT(--EXACT(K33,AcroCDD2),AcroCDD2X),IF($E34="P",SUMPRODUCT(--EXACT(K33,AcroPDD2),AcroPDD2X),IF($E34=3,0,0)))))))),0)</f>
        <v>0</v>
      </c>
      <c r="L34" s="16">
        <f t="array" ref="L34">IFERROR(IF($E34="",0,IF(AND($E34="H",$F$8&lt;&gt;"Acrobatic"),VLOOKUP(L33,HybridDDX,2,FALSE),IF($E34="PA",0,IF($E34="A",SUMPRODUCT(--EXACT(L33,AcroADD3),AcroADD3X),IF($E34="B",SUMPRODUCT(--EXACT(CONCATENATE(LEN(L33),L33),AcroBDD3W),AcroBDD3X),IF($E34="C",SUMPRODUCT(--EXACT(L33,AcroCDD3),AcroCDD3X),IF($E34="P",SUMPRODUCT(--EXACT(L33,AcroPDD3),AcroPDD3X),IF($E34=3,0,0)))))))),0)</f>
        <v>0</v>
      </c>
      <c r="M34" s="16">
        <f>IFERROR(IF($E34="",0,IF(AND($E34="H",$F$8&lt;&gt;"Acrobatic"),VLOOKUP(M33,HybridDDX,2,FALSE),IF($E34="PA",0,IF($E34="A",SUMPRODUCT(--EXACT(M33,AcroADD4p1),AcroADD4p1X),IF($E34="B",SUMPRODUCT(--EXACT(M33,AcroBDD4p1),AcroBDD4p1X),IF($E34="C",SUMPRODUCT(--EXACT(M33,AcroCDD4p1),AcroCDD4p1X),IF($E34="P",SUMPRODUCT(--EXACT(M33,AcroPDD4p1),AcroPDD4p1X),IF($E34=3,0,0)))))))),0)</f>
        <v>0</v>
      </c>
      <c r="N34" s="16">
        <f>IFERROR(IF($E34="",0,IF(AND($E34="H",$F$8&lt;&gt;"Acrobatic"),VLOOKUP(N33,HybridDDX,2,FALSE),IF($E34="PA",0,IF($E34="A",SUMPRODUCT(--EXACT(N33,AcroADD4p2),AcroADD4p2X),IF($E34="B",SUMPRODUCT(--EXACT(N33,AcroBDD4p2),AcroBDD4p2X),IF($E34="C",SUMPRODUCT(--EXACT(N33,AcroCDD4p2),AcroCDD4p2X),IF($E34="P",SUMPRODUCT(--EXACT(N33,AcroPDD4p2),AcroPDD4p2X),IF($E34=3,0,0)))))))),0)</f>
        <v>0</v>
      </c>
      <c r="O34" s="16">
        <f>IFERROR(IF($E34="",0,IF(AND($E34="H",$F$8&lt;&gt;"Acrobatic"),VLOOKUP(O33,HybridDDX,2,FALSE),IF($E34="PA",0,IF($E34="A",SUMPRODUCT(--EXACT(O33,AcroADD5),AcroADD5X),IF($E34="B",SUMPRODUCT(--EXACT(O33,AcroBDD5),AcroBDD5X),IF($E34="C",SUMPRODUCT(--EXACT(O33,AcroCDD5),AcroCDD5X),IF($E34="P",SUMPRODUCT(--EXACT(O33,AcroPDD5),AcroPDD5X),IF($E34=3,0,0)))))))),0)</f>
        <v>0</v>
      </c>
      <c r="P34" s="16">
        <f>IFERROR(IF($E34="",0,IF(AND($E34="H",$F$8&lt;&gt;"Acrobatic"),VLOOKUP(P33,HybridDDX,2,FALSE),IF($E34="C",SUMPRODUCT(--EXACT(P33,AcroCDD6),AcroCDD6X),0))),0)</f>
        <v>0</v>
      </c>
      <c r="Q34" s="16">
        <f t="shared" ref="Q34:AA34" si="266">IFERROR(IF($E34="",0,IF(AND($E34="H",$F$8&lt;&gt;"Acrobatic"),VLOOKUP(Q33,HybridDDX,2,FALSE),0)),0)</f>
        <v>0</v>
      </c>
      <c r="R34" s="16">
        <f t="shared" si="266"/>
        <v>0</v>
      </c>
      <c r="S34" s="16">
        <f t="shared" si="266"/>
        <v>0</v>
      </c>
      <c r="T34" s="16">
        <f t="shared" si="266"/>
        <v>0</v>
      </c>
      <c r="U34" s="16">
        <f t="shared" si="266"/>
        <v>0</v>
      </c>
      <c r="V34" s="16">
        <f t="shared" si="266"/>
        <v>0</v>
      </c>
      <c r="W34" s="16">
        <f t="shared" si="266"/>
        <v>0</v>
      </c>
      <c r="X34" s="16">
        <f t="shared" si="266"/>
        <v>0</v>
      </c>
      <c r="Y34" s="16">
        <f t="shared" si="266"/>
        <v>0</v>
      </c>
      <c r="Z34" s="16">
        <f t="shared" si="266"/>
        <v>0</v>
      </c>
      <c r="AA34" s="16">
        <f t="shared" si="266"/>
        <v>0</v>
      </c>
      <c r="AB34" s="28">
        <f>IFERROR(IF($E34="",0,IF(AND($E34="H",$F$8&lt;&gt;"Acrobatic"),VLOOKUP(AB33,BonusDDX,2,FALSE),IF($E34="A",VLOOKUP(AB33,AcroABonusX,2,FALSE),IF($E34="B",VLOOKUP(AB33,AcroBBonusX,2,FALSE),IF($E34="C",VLOOKUP(AB33,AcroCBonusX,2,FALSE),IF($E34="P",VLOOKUP(AB33,AcroPBonusX,2,FALSE),0)))))),0)</f>
        <v>0</v>
      </c>
      <c r="AC34" s="16">
        <f>IFERROR(IF($E34="",0,IF(AND($E34="H",$F$8&lt;&gt;"Acrobatic"),VLOOKUP(AC33,BonusDDX,2,FALSE),IF($E34="A",VLOOKUP(AC33,AcroABonusX,2,FALSE),IF($E34="B",VLOOKUP(AC33,AcroBBonusX,2,FALSE),IF($E34="C",VLOOKUP(AC33,AcroCBonusX,2,FALSE),IF($E34="P",VLOOKUP(AC33,AcroPBonusX,2,FALSE),0)))))),0)</f>
        <v>0</v>
      </c>
      <c r="AD34" s="16">
        <f>IFERROR(IF($E34="",0,IF(AND($E34="H",$F$8&lt;&gt;"Acrobatic"),VLOOKUP(AD33,BonusDDX,2,FALSE),0)),0)</f>
        <v>0</v>
      </c>
      <c r="AE34" s="16">
        <f>IFERROR(IF($E34="",0,IF(AND($E34="H",$F$8&lt;&gt;"Acrobatic"),VLOOKUP(AE33,BonusDDX,2,FALSE),0)),0)</f>
        <v>0</v>
      </c>
      <c r="AF34" s="46">
        <f>IFERROR(IF($E34="",0,IF(AND($E34="H",$F$8&lt;&gt;"Acrobatic"),VLOOKUP(AF33,BonusDDX,2,FALSE),0)),0)</f>
        <v>0</v>
      </c>
      <c r="AG34" s="71">
        <f t="shared" ref="AG34" si="267">SUM(H34:AF34)</f>
        <v>0</v>
      </c>
      <c r="AH34" s="98"/>
      <c r="AI34" s="98"/>
      <c r="AJ34" s="145"/>
      <c r="AK34" s="145"/>
      <c r="AL34" s="145"/>
      <c r="AM34" s="145"/>
      <c r="AN34" s="145"/>
      <c r="AO34" s="145"/>
      <c r="AP34" s="145"/>
      <c r="AQ34" s="145"/>
      <c r="AR34" s="146" t="str">
        <f>IFERROR(IF($N$7="X",IF(AND(E34="C",AG34&gt;2.45),"X",IF(AND(E34="A",AG34&gt;2.65),"X",IF(AND(E34="B",AG34&gt;2.6),"X",IF(AND(E34="P",AG34&gt;2.5),"X","")))),""),"")</f>
        <v/>
      </c>
      <c r="AS34" s="138"/>
      <c r="AU34" s="132"/>
    </row>
    <row r="35" spans="1:83" ht="12.95" x14ac:dyDescent="0.2">
      <c r="A35" s="42" t="str">
        <f t="shared" ref="A35" si="268">IF(AND(E33="",A33&lt;&gt;""),IF(AS33=$AS$18,"",IF(C33&lt;&gt;"",IF(D33=59,MINUTE(AS33)+1,MINUTE(AS33)),"")),"")</f>
        <v/>
      </c>
      <c r="B35" s="43" t="str">
        <f t="shared" ref="B35" si="269">IF(AND(E33="",B33&lt;&gt;""),IF(AS33=$AS$18,"",IF(C33&lt;&gt;"",IF(D33=59,0,SECOND(AS33)+1),"")),"")</f>
        <v/>
      </c>
      <c r="C35" s="54"/>
      <c r="D35" s="54"/>
      <c r="E35" s="9"/>
      <c r="F35" s="55"/>
      <c r="G35" s="45" t="str">
        <f>IF(F35&lt;&gt;"",IF(OR(F35="Transition",F35="Connected Surface Movment",F35="Cadense"),0,MAX($G$19:G34)+1),"")</f>
        <v/>
      </c>
      <c r="H35" s="68" t="str">
        <f t="shared" ref="H35" si="270">IF(E36=3,"",IF(E36="H","BM",IF(E36="PA",IF(OR(LEFT(J35,1)="L",LEFT(J35,1)="S"),"A-Pair-Lift",IF(OR(LEFT(J35,1)="W",LEFT(J35,1)="T"),"A-Pair-Throw",IF(LEFT(J35,1)="J","A-Pair-Jump","A-Pair"))),IF(OR(E36="A",E36="B",E36="C",E36="P"),CONCATENATE("Acro-",J35),""))))</f>
        <v/>
      </c>
      <c r="I35" s="69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6"/>
      <c r="AC35" s="161"/>
      <c r="AD35" s="161"/>
      <c r="AE35" s="161"/>
      <c r="AF35" s="167"/>
      <c r="AG35" s="47"/>
      <c r="AH35" s="97"/>
      <c r="AI35" s="97"/>
      <c r="AJ35" s="134"/>
      <c r="AK35" s="134"/>
      <c r="AL35" s="134"/>
      <c r="AM35" s="134"/>
      <c r="AN35" s="134"/>
      <c r="AO35" s="134"/>
      <c r="AP35" s="134"/>
      <c r="AQ35" s="134"/>
      <c r="AR35" s="137" t="str">
        <f>IFERROR(TIME(0,A35,B35),"")</f>
        <v/>
      </c>
      <c r="AS35" s="138">
        <f>IFERROR(TIME(0,C35,D35),"")</f>
        <v>0</v>
      </c>
      <c r="AU35" s="132" t="str">
        <f>IF(AND(F35="Hybrid - Thrust",OR(LEFT(J35,1)="T",LEFT(K35,1)="T",LEFT(L35,1)="T",LEFT(JX35,1)="T",LEFT(M35,1)="T",LEFT(N35,1)="T",LEFT(O35,1)="T",LEFT(P35,1)="T",LEFT(Q35,1)="T",LEFT(R35,1)="T",LEFT(S35,1)="T",LEFT(T35,1)="T",LEFT(U35,1)="T",LEFT(V35,1)="T",LEFT(W35,1)="T",LEFT(X35,1)="T",LEFT(Y35,1)="T",LEFT(Z35,1)="T",LEFT(AA35,1)="T")),IF(OR(LEN(J35)=2,LEN(K35)=2,LEN(L35)=2,LEN(M35)=2,LEN(N35)=2,LEN(O35)=2,LEN(P35)=2,LEN(Q35)=2,LEN(R35)=2,LEN(S35)=2,LEN(T35)=2,LEN(U35)=2,LEN(V35)=2,LEN(W35)=2,LEN(X35)=2,LEN(Y35)=2,LEN(Z35)=2,LEN(AA35)=2),"X",""),IF(AND(F35="Hybrid - 720",OR(J35="R3",K35="R3",L35="R3",M35="R3",N35="R3",O35="R3",P35="R3",Q35="R3",R35="R3",S35="R3",T35="R3",U35="R3",V35="R3",W35="R3",X35="R3",Y35="R3",Z35="R3",AA35="R3")),"X",""))</f>
        <v/>
      </c>
      <c r="AW35" s="135">
        <f t="shared" ref="AW35" si="271">COUNTIF(BB35:BS35,"=T1")+COUNTIF(BB35:BS35,"=T2")+COUNTIF(BB35:BS35,"=T3")+COUNTIF(BB35:BS35,"=T4")</f>
        <v>0</v>
      </c>
      <c r="AX35" s="135">
        <f t="shared" ref="AX35" si="272">COUNTIF(BB35:BS35,"=r1")+COUNTIF(BB35:BS35,"=r2")+COUNTIF(BB35:BS35,"=r3")+COUNTIF(BB35:BS35,"=r4")</f>
        <v>0</v>
      </c>
      <c r="AY35" s="135">
        <f t="shared" ref="AY35" si="273">COUNTIF(BB35:BS35,"=A")</f>
        <v>0</v>
      </c>
      <c r="AZ35" s="135">
        <f t="shared" ref="AZ35" si="274">COUNTIF(BB35:BS35,"=F")</f>
        <v>0</v>
      </c>
      <c r="BA35" s="135">
        <f t="shared" ref="BA35" si="275">COUNTIF(BB35:BS35,"=C")</f>
        <v>0</v>
      </c>
      <c r="BB35" s="132" t="str">
        <f t="shared" ref="BB35" si="276">IF($E36="H",IF(OR(LEFT(J35,1)="T",LEFT(J35,1)="R"),LEFT(J35,2),LEFT(J35,1)),"")</f>
        <v/>
      </c>
      <c r="BC35" s="132" t="str">
        <f t="shared" ref="BC35" si="277">IF($E36="H",IF(OR(LEFT(K35,1)="T",LEFT(K35,1)="R"),LEFT(K35,2),LEFT(K35,1)),"")</f>
        <v/>
      </c>
      <c r="BD35" s="132" t="str">
        <f t="shared" ref="BD35" si="278">IF($E36="H",IF(OR(LEFT(L35,1)="T",LEFT(L35,1)="R"),LEFT(L35,2),LEFT(L35,1)),"")</f>
        <v/>
      </c>
      <c r="BE35" s="132" t="str">
        <f t="shared" ref="BE35" si="279">IF($E36="H",IF(OR(LEFT(M35,1)="T",LEFT(M35,1)="R"),LEFT(M35,2),LEFT(M35,1)),"")</f>
        <v/>
      </c>
      <c r="BF35" s="132" t="str">
        <f t="shared" ref="BF35" si="280">IF($E36="H",IF(OR(LEFT(N35,1)="T",LEFT(N35,1)="R"),LEFT(N35,2),LEFT(N35,1)),"")</f>
        <v/>
      </c>
      <c r="BG35" s="132" t="str">
        <f t="shared" ref="BG35" si="281">IF($E36="H",IF(OR(LEFT(O35,1)="T",LEFT(O35,1)="R"),LEFT(O35,2),LEFT(O35,1)),"")</f>
        <v/>
      </c>
      <c r="BH35" s="132" t="str">
        <f t="shared" ref="BH35" si="282">IF($E36="H",IF(OR(LEFT(P35,1)="T",LEFT(P35,1)="R"),LEFT(P35,2),LEFT(P35,1)),"")</f>
        <v/>
      </c>
      <c r="BI35" s="132" t="str">
        <f t="shared" ref="BI35" si="283">IF($E36="H",IF(OR(LEFT(Q35,1)="T",LEFT(Q35,1)="R"),LEFT(Q35,2),LEFT(Q35,1)),"")</f>
        <v/>
      </c>
      <c r="BJ35" s="132" t="str">
        <f t="shared" ref="BJ35" si="284">IF($E36="H",IF(OR(LEFT(R35,1)="T",LEFT(R35,1)="R"),LEFT(R35,2),LEFT(R35,1)),"")</f>
        <v/>
      </c>
      <c r="BK35" s="132" t="str">
        <f t="shared" ref="BK35" si="285">IF($E36="H",IF(OR(LEFT(S35,1)="T",LEFT(S35,1)="R"),LEFT(S35,2),LEFT(S35,1)),"")</f>
        <v/>
      </c>
      <c r="BL35" s="132" t="str">
        <f t="shared" ref="BL35" si="286">IF($E36="H",IF(OR(LEFT(T35,1)="T",LEFT(T35,1)="R"),LEFT(T35,2),LEFT(T35,1)),"")</f>
        <v/>
      </c>
      <c r="BM35" s="132" t="str">
        <f t="shared" ref="BM35" si="287">IF($E36="H",IF(OR(LEFT(U35,1)="T",LEFT(U35,1)="R"),LEFT(U35,2),LEFT(U35,1)),"")</f>
        <v/>
      </c>
      <c r="BN35" s="132" t="str">
        <f t="shared" ref="BN35" si="288">IF($E36="H",IF(OR(LEFT(V35,1)="T",LEFT(V35,1)="R"),LEFT(V35,2),LEFT(V35,1)),"")</f>
        <v/>
      </c>
      <c r="BO35" s="132" t="str">
        <f t="shared" ref="BO35" si="289">IF($E36="H",IF(OR(LEFT(W35,1)="T",LEFT(W35,1)="R"),LEFT(W35,2),LEFT(W35,1)),"")</f>
        <v/>
      </c>
      <c r="BP35" s="132" t="str">
        <f t="shared" ref="BP35" si="290">IF($E36="H",IF(OR(LEFT(X35,1)="T",LEFT(X35,1)="R"),LEFT(X35,2),LEFT(X35,1)),"")</f>
        <v/>
      </c>
      <c r="BQ35" s="132" t="str">
        <f t="shared" ref="BQ35" si="291">IF($E36="H",IF(OR(LEFT(Y35,1)="T",LEFT(Y35,1)="R"),LEFT(Y35,2),LEFT(Y35,1)),"")</f>
        <v/>
      </c>
      <c r="BR35" s="132" t="str">
        <f t="shared" ref="BR35" si="292">IF($E36="H",IF(OR(LEFT(Z35,1)="T",LEFT(Z35,1)="R"),LEFT(Z35,2),LEFT(Z35,1)),"")</f>
        <v/>
      </c>
      <c r="BS35" s="132" t="str">
        <f t="shared" ref="BS35" si="293">IF($E36="H",IF(OR(LEFT(AA35,1)="T",LEFT(AA35,1)="R"),LEFT(AA35,2),LEFT(AA35,1)),"")</f>
        <v/>
      </c>
      <c r="BU35" s="144" t="str">
        <f t="shared" ref="BU35" si="294">IF(OR(LEFT(AB35,2)="PL",LEFT(AC35,2)="PL",LEFT(AD35,2)="PL",LEFT(AE35,2)="PL",LEFT(AF35,2)="PL"),IF($AS$17-AR35&gt;$BU$17,"X",""),"")</f>
        <v/>
      </c>
      <c r="BV35" s="144"/>
      <c r="BW35" s="135">
        <f t="shared" ref="BW35" si="295">IF(COUNTIF(BY35:CC35,BY35)&gt;1,1,IF(COUNTIF(BY35:CC35,BZ35)&gt;1,2,IF(COUNTIF(BY35:CC35,CA35)&gt;1,3,IF(COUNTIF(BY35:CC35,CB35)&gt;1,4,IF(COUNTIF(BY35:CC35,CC35)&gt;1,5,"")))))</f>
        <v>1</v>
      </c>
      <c r="BX35" s="135">
        <f t="shared" ref="BX35" si="296">IF(COUNTIF(BY35:CC35,CC35)&gt;1,5,IF(COUNTIF(BY35:CC35,CB35)&gt;1,4,IF(COUNTIF(BY35:CC35,CA35)&gt;1,3,IF(COUNTIF(BY35:CC35,BZ35)&gt;1,2,IF(COUNTIF(BY35:CC35,BY35)&gt;1,1,"")))))</f>
        <v>5</v>
      </c>
      <c r="BY35" s="132" t="str">
        <f t="shared" ref="BY35" si="297">IFERROR(IF($E36="H",IF(AB35="",BY$18,IF(ISNUMBER(_xlfn.NUMBERVALUE(LEFT(AB35,1))),MID(AB35,2,2),LEFT(AB35,2))),""),"")</f>
        <v/>
      </c>
      <c r="BZ35" s="132" t="str">
        <f t="shared" ref="BZ35" si="298">IFERROR(IF($E36="H",IF(AC35="",BZ$18,IF(ISNUMBER(_xlfn.NUMBERVALUE(LEFT(AC35,1))),MID(AC35,2,2),LEFT(AC35,2))),""),"")</f>
        <v/>
      </c>
      <c r="CA35" s="132" t="str">
        <f t="shared" ref="CA35" si="299">IFERROR(IF($E36="H",IF(AD35="",CA$18,IF(ISNUMBER(_xlfn.NUMBERVALUE(LEFT(AD35,1))),MID(AD35,2,2),LEFT(AD35,2))),""),"")</f>
        <v/>
      </c>
      <c r="CB35" s="132" t="str">
        <f t="shared" ref="CB35" si="300">IFERROR(IF($E36="H",IF(AE35="",CB$18,IF(ISNUMBER(_xlfn.NUMBERVALUE(LEFT(AE35,1))),MID(AE35,2,2),LEFT(AE35,2))),""),"")</f>
        <v/>
      </c>
      <c r="CC35" s="132" t="str">
        <f t="shared" ref="CC35" si="301">IFERROR(IF($E36="H",IF(AF35="",CC$18,IF(ISNUMBER(_xlfn.NUMBERVALUE(LEFT(AF35,1))),MID(AF35,2,2),LEFT(AF35,2))),""),"")</f>
        <v/>
      </c>
      <c r="CE35" s="135" t="str">
        <f t="shared" ref="CE35" si="302">IF(E36=3,_xlfn.NUMBERVALUE(LEFT(J35,1)),"")</f>
        <v/>
      </c>
    </row>
    <row r="36" spans="1:83" ht="12.95" x14ac:dyDescent="0.2">
      <c r="A36" s="42"/>
      <c r="B36" s="43"/>
      <c r="C36" s="43"/>
      <c r="D36" s="43"/>
      <c r="E36" s="21" t="str">
        <f t="shared" ref="E36" si="303">IF(F35="Acrobatic","PA",IF(F35="Acrobatic Airborn","A",IF(F35="Acrobatic Balance","B",IF(F35="Acrobatic Combined","C",IF(F35="Acrobatic Platform","P",IF(F35="Technical Required Element",3,IF(LEFT(F35,4)="Hybr","H","")))))))</f>
        <v/>
      </c>
      <c r="F36" s="21" t="str">
        <f>IF(OR(F35="Acrobatic Airborn",F35="Acrobatic Balance",F35="Acrobatic Combined",F35="Acrobatic Platform"),"Acrobatic",IF(AND(F35="Hybrid - Thrust",AU35="X"),"Hybrid - Thrust - X",IF(AND(F35="Hybrid - 720",AU35="X"),"Hybrid - 720 - X","")))</f>
        <v/>
      </c>
      <c r="G36" s="45"/>
      <c r="H36" s="68" t="str">
        <f t="shared" si="2"/>
        <v/>
      </c>
      <c r="I36" s="69"/>
      <c r="J36" s="16">
        <f>IFERROR(IF($E36="",0,IF(AND($E36="H",$F$8&lt;&gt;"Acrobatic"),VLOOKUP(J35,HybridDDX,2,FALSE),IF($E36="PA",VLOOKUP(J35,AcroPairDDX,2,FALSE),IF(OR($E36="A",$E36="B",$E36="C",$E36="P"),0,IF($E36=3,VLOOKUP(J35,TreDDX,2,FALSE),0))))),0)</f>
        <v>0</v>
      </c>
      <c r="K36" s="16">
        <f>IFERROR(IF($E36="",0,IF(AND($E36="H",$F$8&lt;&gt;"Acrobatic"),VLOOKUP(K35,HybridDDX,2,FALSE),IF($E36="PA",0,IF($E36="A",SUMPRODUCT(--EXACT(K35,AcroADD2),AcroADD2X),IF($E36="B",SUMPRODUCT(--EXACT(K35,AcroBDD2),AcroBDD2X),IF($E36="C",SUMPRODUCT(--EXACT(K35,AcroCDD2),AcroCDD2X),IF($E36="P",SUMPRODUCT(--EXACT(K35,AcroPDD2),AcroPDD2X),IF($E36=3,0,0)))))))),0)</f>
        <v>0</v>
      </c>
      <c r="L36" s="16">
        <f t="array" ref="L36">IFERROR(IF($E36="",0,IF(AND($E36="H",$F$8&lt;&gt;"Acrobatic"),VLOOKUP(L35,HybridDDX,2,FALSE),IF($E36="PA",0,IF($E36="A",SUMPRODUCT(--EXACT(L35,AcroADD3),AcroADD3X),IF($E36="B",SUMPRODUCT(--EXACT(CONCATENATE(LEN(L35),L35),AcroBDD3W),AcroBDD3X),IF($E36="C",SUMPRODUCT(--EXACT(L35,AcroCDD3),AcroCDD3X),IF($E36="P",SUMPRODUCT(--EXACT(L35,AcroPDD3),AcroPDD3X),IF($E36=3,0,0)))))))),0)</f>
        <v>0</v>
      </c>
      <c r="M36" s="16">
        <f>IFERROR(IF($E36="",0,IF(AND($E36="H",$F$8&lt;&gt;"Acrobatic"),VLOOKUP(M35,HybridDDX,2,FALSE),IF($E36="PA",0,IF($E36="A",SUMPRODUCT(--EXACT(M35,AcroADD4p1),AcroADD4p1X),IF($E36="B",SUMPRODUCT(--EXACT(M35,AcroBDD4p1),AcroBDD4p1X),IF($E36="C",SUMPRODUCT(--EXACT(M35,AcroCDD4p1),AcroCDD4p1X),IF($E36="P",SUMPRODUCT(--EXACT(M35,AcroPDD4p1),AcroPDD4p1X),IF($E36=3,0,0)))))))),0)</f>
        <v>0</v>
      </c>
      <c r="N36" s="16">
        <f>IFERROR(IF($E36="",0,IF(AND($E36="H",$F$8&lt;&gt;"Acrobatic"),VLOOKUP(N35,HybridDDX,2,FALSE),IF($E36="PA",0,IF($E36="A",SUMPRODUCT(--EXACT(N35,AcroADD4p2),AcroADD4p2X),IF($E36="B",SUMPRODUCT(--EXACT(N35,AcroBDD4p2),AcroBDD4p2X),IF($E36="C",SUMPRODUCT(--EXACT(N35,AcroCDD4p2),AcroCDD4p2X),IF($E36="P",SUMPRODUCT(--EXACT(N35,AcroPDD4p2),AcroPDD4p2X),IF($E36=3,0,0)))))))),0)</f>
        <v>0</v>
      </c>
      <c r="O36" s="16">
        <f>IFERROR(IF($E36="",0,IF(AND($E36="H",$F$8&lt;&gt;"Acrobatic"),VLOOKUP(O35,HybridDDX,2,FALSE),IF($E36="PA",0,IF($E36="A",SUMPRODUCT(--EXACT(O35,AcroADD5),AcroADD5X),IF($E36="B",SUMPRODUCT(--EXACT(O35,AcroBDD5),AcroBDD5X),IF($E36="C",SUMPRODUCT(--EXACT(O35,AcroCDD5),AcroCDD5X),IF($E36="P",SUMPRODUCT(--EXACT(O35,AcroPDD5),AcroPDD5X),IF($E36=3,0,0)))))))),0)</f>
        <v>0</v>
      </c>
      <c r="P36" s="16">
        <f>IFERROR(IF($E36="",0,IF(AND($E36="H",$F$8&lt;&gt;"Acrobatic"),VLOOKUP(P35,HybridDDX,2,FALSE),IF($E36="C",SUMPRODUCT(--EXACT(P35,AcroCDD6),AcroCDD6X),0))),0)</f>
        <v>0</v>
      </c>
      <c r="Q36" s="16">
        <f t="shared" ref="Q36:AA36" si="304">IFERROR(IF($E36="",0,IF(AND($E36="H",$F$8&lt;&gt;"Acrobatic"),VLOOKUP(Q35,HybridDDX,2,FALSE),0)),0)</f>
        <v>0</v>
      </c>
      <c r="R36" s="16">
        <f t="shared" si="304"/>
        <v>0</v>
      </c>
      <c r="S36" s="16">
        <f t="shared" si="304"/>
        <v>0</v>
      </c>
      <c r="T36" s="16">
        <f t="shared" si="304"/>
        <v>0</v>
      </c>
      <c r="U36" s="16">
        <f t="shared" si="304"/>
        <v>0</v>
      </c>
      <c r="V36" s="16">
        <f t="shared" si="304"/>
        <v>0</v>
      </c>
      <c r="W36" s="16">
        <f t="shared" si="304"/>
        <v>0</v>
      </c>
      <c r="X36" s="16">
        <f t="shared" si="304"/>
        <v>0</v>
      </c>
      <c r="Y36" s="16">
        <f t="shared" si="304"/>
        <v>0</v>
      </c>
      <c r="Z36" s="16">
        <f t="shared" si="304"/>
        <v>0</v>
      </c>
      <c r="AA36" s="16">
        <f t="shared" si="304"/>
        <v>0</v>
      </c>
      <c r="AB36" s="28">
        <f>IFERROR(IF($E36="",0,IF(AND($E36="H",$F$8&lt;&gt;"Acrobatic"),VLOOKUP(AB35,BonusDDX,2,FALSE),IF($E36="A",VLOOKUP(AB35,AcroABonusX,2,FALSE),IF($E36="B",VLOOKUP(AB35,AcroBBonusX,2,FALSE),IF($E36="C",VLOOKUP(AB35,AcroCBonusX,2,FALSE),IF($E36="P",VLOOKUP(AB35,AcroPBonusX,2,FALSE),0)))))),0)</f>
        <v>0</v>
      </c>
      <c r="AC36" s="16">
        <f>IFERROR(IF($E36="",0,IF(AND($E36="H",$F$8&lt;&gt;"Acrobatic"),VLOOKUP(AC35,BonusDDX,2,FALSE),IF($E36="A",VLOOKUP(AC35,AcroABonusX,2,FALSE),IF($E36="B",VLOOKUP(AC35,AcroBBonusX,2,FALSE),IF($E36="C",VLOOKUP(AC35,AcroCBonusX,2,FALSE),IF($E36="P",VLOOKUP(AC35,AcroPBonusX,2,FALSE),0)))))),0)</f>
        <v>0</v>
      </c>
      <c r="AD36" s="16">
        <f>IFERROR(IF($E36="",0,IF(AND($E36="H",$F$8&lt;&gt;"Acrobatic"),VLOOKUP(AD35,BonusDDX,2,FALSE),0)),0)</f>
        <v>0</v>
      </c>
      <c r="AE36" s="16">
        <f>IFERROR(IF($E36="",0,IF(AND($E36="H",$F$8&lt;&gt;"Acrobatic"),VLOOKUP(AE35,BonusDDX,2,FALSE),0)),0)</f>
        <v>0</v>
      </c>
      <c r="AF36" s="46">
        <f>IFERROR(IF($E36="",0,IF(AND($E36="H",$F$8&lt;&gt;"Acrobatic"),VLOOKUP(AF35,BonusDDX,2,FALSE),0)),0)</f>
        <v>0</v>
      </c>
      <c r="AG36" s="71">
        <f t="shared" ref="AG36" si="305">SUM(H36:AF36)</f>
        <v>0</v>
      </c>
      <c r="AH36" s="98"/>
      <c r="AI36" s="98"/>
      <c r="AJ36" s="145"/>
      <c r="AK36" s="145"/>
      <c r="AL36" s="145"/>
      <c r="AM36" s="145"/>
      <c r="AN36" s="145"/>
      <c r="AO36" s="145"/>
      <c r="AP36" s="145"/>
      <c r="AQ36" s="145"/>
      <c r="AR36" s="146" t="str">
        <f>IFERROR(IF($N$7="X",IF(AND(E36="C",AG36&gt;2.45),"X",IF(AND(E36="A",AG36&gt;2.65),"X",IF(AND(E36="B",AG36&gt;2.6),"X",IF(AND(E36="P",AG36&gt;2.5),"X","")))),""),"")</f>
        <v/>
      </c>
      <c r="AS36" s="138"/>
      <c r="AU36" s="132"/>
    </row>
    <row r="37" spans="1:83" ht="12.95" x14ac:dyDescent="0.2">
      <c r="A37" s="42" t="str">
        <f t="shared" ref="A37" si="306">IF(AND(E35="",A35&lt;&gt;""),IF(AS35=$AS$18,"",IF(C35&lt;&gt;"",IF(D35=59,MINUTE(AS35)+1,MINUTE(AS35)),"")),"")</f>
        <v/>
      </c>
      <c r="B37" s="43" t="str">
        <f t="shared" ref="B37" si="307">IF(AND(E35="",B35&lt;&gt;""),IF(AS35=$AS$18,"",IF(C35&lt;&gt;"",IF(D35=59,0,SECOND(AS35)+1),"")),"")</f>
        <v/>
      </c>
      <c r="C37" s="54"/>
      <c r="D37" s="54"/>
      <c r="E37" s="9"/>
      <c r="F37" s="55"/>
      <c r="G37" s="45" t="str">
        <f>IF(F37&lt;&gt;"",IF(OR(F37="Transition",F37="Connected Surface Movment",F37="Cadense"),0,MAX($G$19:G36)+1),"")</f>
        <v/>
      </c>
      <c r="H37" s="68" t="str">
        <f t="shared" ref="H37" si="308">IF(E38=3,"",IF(E38="H","BM",IF(E38="PA",IF(OR(LEFT(J37,1)="L",LEFT(J37,1)="S"),"A-Pair-Lift",IF(OR(LEFT(J37,1)="W",LEFT(J37,1)="T"),"A-Pair-Throw",IF(LEFT(J37,1)="J","A-Pair-Jump","A-Pair"))),IF(OR(E38="A",E38="B",E38="C",E38="P"),CONCATENATE("Acro-",J37),""))))</f>
        <v/>
      </c>
      <c r="I37" s="69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6"/>
      <c r="AC37" s="161"/>
      <c r="AD37" s="161"/>
      <c r="AE37" s="161"/>
      <c r="AF37" s="167"/>
      <c r="AG37" s="47"/>
      <c r="AH37" s="97"/>
      <c r="AI37" s="97"/>
      <c r="AJ37" s="134"/>
      <c r="AK37" s="134"/>
      <c r="AL37" s="134"/>
      <c r="AM37" s="134"/>
      <c r="AN37" s="134"/>
      <c r="AO37" s="134"/>
      <c r="AP37" s="134"/>
      <c r="AQ37" s="134"/>
      <c r="AR37" s="137" t="str">
        <f>IFERROR(TIME(0,A37,B37),"")</f>
        <v/>
      </c>
      <c r="AS37" s="138">
        <f>IFERROR(TIME(0,C37,D37),"")</f>
        <v>0</v>
      </c>
      <c r="AU37" s="132" t="str">
        <f>IF(AND(F37="Hybrid - Thrust",OR(LEFT(J37,1)="T",LEFT(K37,1)="T",LEFT(L37,1)="T",LEFT(JX37,1)="T",LEFT(M37,1)="T",LEFT(N37,1)="T",LEFT(O37,1)="T",LEFT(P37,1)="T",LEFT(Q37,1)="T",LEFT(R37,1)="T",LEFT(S37,1)="T",LEFT(T37,1)="T",LEFT(U37,1)="T",LEFT(V37,1)="T",LEFT(W37,1)="T",LEFT(X37,1)="T",LEFT(Y37,1)="T",LEFT(Z37,1)="T",LEFT(AA37,1)="T")),IF(OR(LEN(J37)=2,LEN(K37)=2,LEN(L37)=2,LEN(M37)=2,LEN(N37)=2,LEN(O37)=2,LEN(P37)=2,LEN(Q37)=2,LEN(R37)=2,LEN(S37)=2,LEN(T37)=2,LEN(U37)=2,LEN(V37)=2,LEN(W37)=2,LEN(X37)=2,LEN(Y37)=2,LEN(Z37)=2,LEN(AA37)=2),"X",""),IF(AND(F37="Hybrid - 720",OR(J37="R3",K37="R3",L37="R3",M37="R3",N37="R3",O37="R3",P37="R3",Q37="R3",R37="R3",S37="R3",T37="R3",U37="R3",V37="R3",W37="R3",X37="R3",Y37="R3",Z37="R3",AA37="R3")),"X",""))</f>
        <v/>
      </c>
      <c r="AW37" s="135">
        <f t="shared" ref="AW37" si="309">COUNTIF(BB37:BS37,"=T1")+COUNTIF(BB37:BS37,"=T2")+COUNTIF(BB37:BS37,"=T3")+COUNTIF(BB37:BS37,"=T4")</f>
        <v>0</v>
      </c>
      <c r="AX37" s="135">
        <f t="shared" ref="AX37" si="310">COUNTIF(BB37:BS37,"=r1")+COUNTIF(BB37:BS37,"=r2")+COUNTIF(BB37:BS37,"=r3")+COUNTIF(BB37:BS37,"=r4")</f>
        <v>0</v>
      </c>
      <c r="AY37" s="135">
        <f t="shared" ref="AY37" si="311">COUNTIF(BB37:BS37,"=A")</f>
        <v>0</v>
      </c>
      <c r="AZ37" s="135">
        <f t="shared" ref="AZ37" si="312">COUNTIF(BB37:BS37,"=F")</f>
        <v>0</v>
      </c>
      <c r="BA37" s="135">
        <f t="shared" ref="BA37" si="313">COUNTIF(BB37:BS37,"=C")</f>
        <v>0</v>
      </c>
      <c r="BB37" s="132" t="str">
        <f t="shared" ref="BB37" si="314">IF($E38="H",IF(OR(LEFT(J37,1)="T",LEFT(J37,1)="R"),LEFT(J37,2),LEFT(J37,1)),"")</f>
        <v/>
      </c>
      <c r="BC37" s="132" t="str">
        <f t="shared" ref="BC37" si="315">IF($E38="H",IF(OR(LEFT(K37,1)="T",LEFT(K37,1)="R"),LEFT(K37,2),LEFT(K37,1)),"")</f>
        <v/>
      </c>
      <c r="BD37" s="132" t="str">
        <f t="shared" ref="BD37" si="316">IF($E38="H",IF(OR(LEFT(L37,1)="T",LEFT(L37,1)="R"),LEFT(L37,2),LEFT(L37,1)),"")</f>
        <v/>
      </c>
      <c r="BE37" s="132" t="str">
        <f t="shared" ref="BE37" si="317">IF($E38="H",IF(OR(LEFT(M37,1)="T",LEFT(M37,1)="R"),LEFT(M37,2),LEFT(M37,1)),"")</f>
        <v/>
      </c>
      <c r="BF37" s="132" t="str">
        <f t="shared" ref="BF37" si="318">IF($E38="H",IF(OR(LEFT(N37,1)="T",LEFT(N37,1)="R"),LEFT(N37,2),LEFT(N37,1)),"")</f>
        <v/>
      </c>
      <c r="BG37" s="132" t="str">
        <f t="shared" ref="BG37" si="319">IF($E38="H",IF(OR(LEFT(O37,1)="T",LEFT(O37,1)="R"),LEFT(O37,2),LEFT(O37,1)),"")</f>
        <v/>
      </c>
      <c r="BH37" s="132" t="str">
        <f t="shared" ref="BH37" si="320">IF($E38="H",IF(OR(LEFT(P37,1)="T",LEFT(P37,1)="R"),LEFT(P37,2),LEFT(P37,1)),"")</f>
        <v/>
      </c>
      <c r="BI37" s="132" t="str">
        <f t="shared" ref="BI37" si="321">IF($E38="H",IF(OR(LEFT(Q37,1)="T",LEFT(Q37,1)="R"),LEFT(Q37,2),LEFT(Q37,1)),"")</f>
        <v/>
      </c>
      <c r="BJ37" s="132" t="str">
        <f t="shared" ref="BJ37" si="322">IF($E38="H",IF(OR(LEFT(R37,1)="T",LEFT(R37,1)="R"),LEFT(R37,2),LEFT(R37,1)),"")</f>
        <v/>
      </c>
      <c r="BK37" s="132" t="str">
        <f t="shared" ref="BK37" si="323">IF($E38="H",IF(OR(LEFT(S37,1)="T",LEFT(S37,1)="R"),LEFT(S37,2),LEFT(S37,1)),"")</f>
        <v/>
      </c>
      <c r="BL37" s="132" t="str">
        <f t="shared" ref="BL37" si="324">IF($E38="H",IF(OR(LEFT(T37,1)="T",LEFT(T37,1)="R"),LEFT(T37,2),LEFT(T37,1)),"")</f>
        <v/>
      </c>
      <c r="BM37" s="132" t="str">
        <f t="shared" ref="BM37" si="325">IF($E38="H",IF(OR(LEFT(U37,1)="T",LEFT(U37,1)="R"),LEFT(U37,2),LEFT(U37,1)),"")</f>
        <v/>
      </c>
      <c r="BN37" s="132" t="str">
        <f t="shared" ref="BN37" si="326">IF($E38="H",IF(OR(LEFT(V37,1)="T",LEFT(V37,1)="R"),LEFT(V37,2),LEFT(V37,1)),"")</f>
        <v/>
      </c>
      <c r="BO37" s="132" t="str">
        <f t="shared" ref="BO37" si="327">IF($E38="H",IF(OR(LEFT(W37,1)="T",LEFT(W37,1)="R"),LEFT(W37,2),LEFT(W37,1)),"")</f>
        <v/>
      </c>
      <c r="BP37" s="132" t="str">
        <f t="shared" ref="BP37" si="328">IF($E38="H",IF(OR(LEFT(X37,1)="T",LEFT(X37,1)="R"),LEFT(X37,2),LEFT(X37,1)),"")</f>
        <v/>
      </c>
      <c r="BQ37" s="132" t="str">
        <f t="shared" ref="BQ37" si="329">IF($E38="H",IF(OR(LEFT(Y37,1)="T",LEFT(Y37,1)="R"),LEFT(Y37,2),LEFT(Y37,1)),"")</f>
        <v/>
      </c>
      <c r="BR37" s="132" t="str">
        <f t="shared" ref="BR37" si="330">IF($E38="H",IF(OR(LEFT(Z37,1)="T",LEFT(Z37,1)="R"),LEFT(Z37,2),LEFT(Z37,1)),"")</f>
        <v/>
      </c>
      <c r="BS37" s="132" t="str">
        <f t="shared" ref="BS37" si="331">IF($E38="H",IF(OR(LEFT(AA37,1)="T",LEFT(AA37,1)="R"),LEFT(AA37,2),LEFT(AA37,1)),"")</f>
        <v/>
      </c>
      <c r="BU37" s="144" t="str">
        <f t="shared" ref="BU37" si="332">IF(OR(LEFT(AB37,2)="PL",LEFT(AC37,2)="PL",LEFT(AD37,2)="PL",LEFT(AE37,2)="PL",LEFT(AF37,2)="PL"),IF($AS$17-AR37&gt;$BU$17,"X",""),"")</f>
        <v/>
      </c>
      <c r="BV37" s="144"/>
      <c r="BW37" s="135">
        <f t="shared" ref="BW37" si="333">IF(COUNTIF(BY37:CC37,BY37)&gt;1,1,IF(COUNTIF(BY37:CC37,BZ37)&gt;1,2,IF(COUNTIF(BY37:CC37,CA37)&gt;1,3,IF(COUNTIF(BY37:CC37,CB37)&gt;1,4,IF(COUNTIF(BY37:CC37,CC37)&gt;1,5,"")))))</f>
        <v>1</v>
      </c>
      <c r="BX37" s="135">
        <f t="shared" ref="BX37" si="334">IF(COUNTIF(BY37:CC37,CC37)&gt;1,5,IF(COUNTIF(BY37:CC37,CB37)&gt;1,4,IF(COUNTIF(BY37:CC37,CA37)&gt;1,3,IF(COUNTIF(BY37:CC37,BZ37)&gt;1,2,IF(COUNTIF(BY37:CC37,BY37)&gt;1,1,"")))))</f>
        <v>5</v>
      </c>
      <c r="BY37" s="132" t="str">
        <f t="shared" ref="BY37" si="335">IFERROR(IF($E38="H",IF(AB37="",BY$18,IF(ISNUMBER(_xlfn.NUMBERVALUE(LEFT(AB37,1))),MID(AB37,2,2),LEFT(AB37,2))),""),"")</f>
        <v/>
      </c>
      <c r="BZ37" s="132" t="str">
        <f t="shared" ref="BZ37" si="336">IFERROR(IF($E38="H",IF(AC37="",BZ$18,IF(ISNUMBER(_xlfn.NUMBERVALUE(LEFT(AC37,1))),MID(AC37,2,2),LEFT(AC37,2))),""),"")</f>
        <v/>
      </c>
      <c r="CA37" s="132" t="str">
        <f t="shared" ref="CA37" si="337">IFERROR(IF($E38="H",IF(AD37="",CA$18,IF(ISNUMBER(_xlfn.NUMBERVALUE(LEFT(AD37,1))),MID(AD37,2,2),LEFT(AD37,2))),""),"")</f>
        <v/>
      </c>
      <c r="CB37" s="132" t="str">
        <f t="shared" ref="CB37" si="338">IFERROR(IF($E38="H",IF(AE37="",CB$18,IF(ISNUMBER(_xlfn.NUMBERVALUE(LEFT(AE37,1))),MID(AE37,2,2),LEFT(AE37,2))),""),"")</f>
        <v/>
      </c>
      <c r="CC37" s="132" t="str">
        <f t="shared" ref="CC37" si="339">IFERROR(IF($E38="H",IF(AF37="",CC$18,IF(ISNUMBER(_xlfn.NUMBERVALUE(LEFT(AF37,1))),MID(AF37,2,2),LEFT(AF37,2))),""),"")</f>
        <v/>
      </c>
      <c r="CE37" s="135" t="str">
        <f t="shared" ref="CE37" si="340">IF(E38=3,_xlfn.NUMBERVALUE(LEFT(J37,1)),"")</f>
        <v/>
      </c>
    </row>
    <row r="38" spans="1:83" ht="12.95" x14ac:dyDescent="0.2">
      <c r="A38" s="42"/>
      <c r="B38" s="43"/>
      <c r="C38" s="43"/>
      <c r="D38" s="43"/>
      <c r="E38" s="21" t="str">
        <f t="shared" ref="E38" si="341">IF(F37="Acrobatic","PA",IF(F37="Acrobatic Airborn","A",IF(F37="Acrobatic Balance","B",IF(F37="Acrobatic Combined","C",IF(F37="Acrobatic Platform","P",IF(F37="Technical Required Element",3,IF(LEFT(F37,4)="Hybr","H","")))))))</f>
        <v/>
      </c>
      <c r="F38" s="21" t="str">
        <f>IF(OR(F37="Acrobatic Airborn",F37="Acrobatic Balance",F37="Acrobatic Combined",F37="Acrobatic Platform"),"Acrobatic",IF(AND(F37="Hybrid - Thrust",AU37="X"),"Hybrid - Thrust - X",IF(AND(F37="Hybrid - 720",AU37="X"),"Hybrid - 720 - X","")))</f>
        <v/>
      </c>
      <c r="G38" s="45"/>
      <c r="H38" s="68" t="str">
        <f t="shared" si="2"/>
        <v/>
      </c>
      <c r="I38" s="69"/>
      <c r="J38" s="16">
        <f>IFERROR(IF($E38="",0,IF(AND($E38="H",$F$8&lt;&gt;"Acrobatic"),VLOOKUP(J37,HybridDDX,2,FALSE),IF($E38="PA",VLOOKUP(J37,AcroPairDDX,2,FALSE),IF(OR($E38="A",$E38="B",$E38="C",$E38="P"),0,IF($E38=3,VLOOKUP(J37,TreDDX,2,FALSE),0))))),0)</f>
        <v>0</v>
      </c>
      <c r="K38" s="16">
        <f>IFERROR(IF($E38="",0,IF(AND($E38="H",$F$8&lt;&gt;"Acrobatic"),VLOOKUP(K37,HybridDDX,2,FALSE),IF($E38="PA",0,IF($E38="A",SUMPRODUCT(--EXACT(K37,AcroADD2),AcroADD2X),IF($E38="B",SUMPRODUCT(--EXACT(K37,AcroBDD2),AcroBDD2X),IF($E38="C",SUMPRODUCT(--EXACT(K37,AcroCDD2),AcroCDD2X),IF($E38="P",SUMPRODUCT(--EXACT(K37,AcroPDD2),AcroPDD2X),IF($E38=3,0,0)))))))),0)</f>
        <v>0</v>
      </c>
      <c r="L38" s="16">
        <f t="array" ref="L38">IFERROR(IF($E38="",0,IF(AND($E38="H",$F$8&lt;&gt;"Acrobatic"),VLOOKUP(L37,HybridDDX,2,FALSE),IF($E38="PA",0,IF($E38="A",SUMPRODUCT(--EXACT(L37,AcroADD3),AcroADD3X),IF($E38="B",SUMPRODUCT(--EXACT(CONCATENATE(LEN(L37),L37),AcroBDD3W),AcroBDD3X),IF($E38="C",SUMPRODUCT(--EXACT(L37,AcroCDD3),AcroCDD3X),IF($E38="P",SUMPRODUCT(--EXACT(L37,AcroPDD3),AcroPDD3X),IF($E38=3,0,0)))))))),0)</f>
        <v>0</v>
      </c>
      <c r="M38" s="16">
        <f>IFERROR(IF($E38="",0,IF(AND($E38="H",$F$8&lt;&gt;"Acrobatic"),VLOOKUP(M37,HybridDDX,2,FALSE),IF($E38="PA",0,IF($E38="A",SUMPRODUCT(--EXACT(M37,AcroADD4p1),AcroADD4p1X),IF($E38="B",SUMPRODUCT(--EXACT(M37,AcroBDD4p1),AcroBDD4p1X),IF($E38="C",SUMPRODUCT(--EXACT(M37,AcroCDD4p1),AcroCDD4p1X),IF($E38="P",SUMPRODUCT(--EXACT(M37,AcroPDD4p1),AcroPDD4p1X),IF($E38=3,0,0)))))))),0)</f>
        <v>0</v>
      </c>
      <c r="N38" s="16">
        <f>IFERROR(IF($E38="",0,IF(AND($E38="H",$F$8&lt;&gt;"Acrobatic"),VLOOKUP(N37,HybridDDX,2,FALSE),IF($E38="PA",0,IF($E38="A",SUMPRODUCT(--EXACT(N37,AcroADD4p2),AcroADD4p2X),IF($E38="B",SUMPRODUCT(--EXACT(N37,AcroBDD4p2),AcroBDD4p2X),IF($E38="C",SUMPRODUCT(--EXACT(N37,AcroCDD4p2),AcroCDD4p2X),IF($E38="P",SUMPRODUCT(--EXACT(N37,AcroPDD4p2),AcroPDD4p2X),IF($E38=3,0,0)))))))),0)</f>
        <v>0</v>
      </c>
      <c r="O38" s="16">
        <f>IFERROR(IF($E38="",0,IF(AND($E38="H",$F$8&lt;&gt;"Acrobatic"),VLOOKUP(O37,HybridDDX,2,FALSE),IF($E38="PA",0,IF($E38="A",SUMPRODUCT(--EXACT(O37,AcroADD5),AcroADD5X),IF($E38="B",SUMPRODUCT(--EXACT(O37,AcroBDD5),AcroBDD5X),IF($E38="C",SUMPRODUCT(--EXACT(O37,AcroCDD5),AcroCDD5X),IF($E38="P",SUMPRODUCT(--EXACT(O37,AcroPDD5),AcroPDD5X),IF($E38=3,0,0)))))))),0)</f>
        <v>0</v>
      </c>
      <c r="P38" s="16">
        <f>IFERROR(IF($E38="",0,IF(AND($E38="H",$F$8&lt;&gt;"Acrobatic"),VLOOKUP(P37,HybridDDX,2,FALSE),IF($E38="C",SUMPRODUCT(--EXACT(P37,AcroCDD6),AcroCDD6X),0))),0)</f>
        <v>0</v>
      </c>
      <c r="Q38" s="16">
        <f t="shared" ref="Q38:AA38" si="342">IFERROR(IF($E38="",0,IF(AND($E38="H",$F$8&lt;&gt;"Acrobatic"),VLOOKUP(Q37,HybridDDX,2,FALSE),0)),0)</f>
        <v>0</v>
      </c>
      <c r="R38" s="16">
        <f t="shared" si="342"/>
        <v>0</v>
      </c>
      <c r="S38" s="16">
        <f t="shared" si="342"/>
        <v>0</v>
      </c>
      <c r="T38" s="16">
        <f t="shared" si="342"/>
        <v>0</v>
      </c>
      <c r="U38" s="16">
        <f t="shared" si="342"/>
        <v>0</v>
      </c>
      <c r="V38" s="16">
        <f t="shared" si="342"/>
        <v>0</v>
      </c>
      <c r="W38" s="16">
        <f t="shared" si="342"/>
        <v>0</v>
      </c>
      <c r="X38" s="16">
        <f t="shared" si="342"/>
        <v>0</v>
      </c>
      <c r="Y38" s="16">
        <f t="shared" si="342"/>
        <v>0</v>
      </c>
      <c r="Z38" s="16">
        <f t="shared" si="342"/>
        <v>0</v>
      </c>
      <c r="AA38" s="16">
        <f t="shared" si="342"/>
        <v>0</v>
      </c>
      <c r="AB38" s="28">
        <f>IFERROR(IF($E38="",0,IF(AND($E38="H",$F$8&lt;&gt;"Acrobatic"),VLOOKUP(AB37,BonusDDX,2,FALSE),IF($E38="A",VLOOKUP(AB37,AcroABonusX,2,FALSE),IF($E38="B",VLOOKUP(AB37,AcroBBonusX,2,FALSE),IF($E38="C",VLOOKUP(AB37,AcroCBonusX,2,FALSE),IF($E38="P",VLOOKUP(AB37,AcroPBonusX,2,FALSE),0)))))),0)</f>
        <v>0</v>
      </c>
      <c r="AC38" s="16">
        <f>IFERROR(IF($E38="",0,IF(AND($E38="H",$F$8&lt;&gt;"Acrobatic"),VLOOKUP(AC37,BonusDDX,2,FALSE),IF($E38="A",VLOOKUP(AC37,AcroABonusX,2,FALSE),IF($E38="B",VLOOKUP(AC37,AcroBBonusX,2,FALSE),IF($E38="C",VLOOKUP(AC37,AcroCBonusX,2,FALSE),IF($E38="P",VLOOKUP(AC37,AcroPBonusX,2,FALSE),0)))))),0)</f>
        <v>0</v>
      </c>
      <c r="AD38" s="16">
        <f>IFERROR(IF($E38="",0,IF(AND($E38="H",$F$8&lt;&gt;"Acrobatic"),VLOOKUP(AD37,BonusDDX,2,FALSE),0)),0)</f>
        <v>0</v>
      </c>
      <c r="AE38" s="16">
        <f>IFERROR(IF($E38="",0,IF(AND($E38="H",$F$8&lt;&gt;"Acrobatic"),VLOOKUP(AE37,BonusDDX,2,FALSE),0)),0)</f>
        <v>0</v>
      </c>
      <c r="AF38" s="46">
        <f>IFERROR(IF($E38="",0,IF(AND($E38="H",$F$8&lt;&gt;"Acrobatic"),VLOOKUP(AF37,BonusDDX,2,FALSE),0)),0)</f>
        <v>0</v>
      </c>
      <c r="AG38" s="71">
        <f t="shared" ref="AG38" si="343">SUM(H38:AF38)</f>
        <v>0</v>
      </c>
      <c r="AH38" s="98"/>
      <c r="AI38" s="98"/>
      <c r="AJ38" s="145"/>
      <c r="AK38" s="145"/>
      <c r="AL38" s="145"/>
      <c r="AM38" s="145"/>
      <c r="AN38" s="145"/>
      <c r="AO38" s="145"/>
      <c r="AP38" s="145"/>
      <c r="AQ38" s="145"/>
      <c r="AR38" s="146" t="str">
        <f>IFERROR(IF($N$7="X",IF(AND(E38="C",AG38&gt;2.45),"X",IF(AND(E38="A",AG38&gt;2.65),"X",IF(AND(E38="B",AG38&gt;2.6),"X",IF(AND(E38="P",AG38&gt;2.5),"X","")))),""),"")</f>
        <v/>
      </c>
      <c r="AS38" s="138"/>
      <c r="AU38" s="132"/>
    </row>
    <row r="39" spans="1:83" ht="12.95" x14ac:dyDescent="0.2">
      <c r="A39" s="42" t="str">
        <f t="shared" ref="A39" si="344">IF(AND(E37="",A37&lt;&gt;""),IF(AS37=$AS$18,"",IF(C37&lt;&gt;"",IF(D37=59,MINUTE(AS37)+1,MINUTE(AS37)),"")),"")</f>
        <v/>
      </c>
      <c r="B39" s="43" t="str">
        <f t="shared" ref="B39" si="345">IF(AND(E37="",B37&lt;&gt;""),IF(AS37=$AS$18,"",IF(C37&lt;&gt;"",IF(D37=59,0,SECOND(AS37)+1),"")),"")</f>
        <v/>
      </c>
      <c r="C39" s="54"/>
      <c r="D39" s="54"/>
      <c r="E39" s="9"/>
      <c r="F39" s="55"/>
      <c r="G39" s="45" t="str">
        <f>IF(F39&lt;&gt;"",IF(OR(F39="Transition",F39="Connected Surface Movment",F39="Cadense"),0,MAX($G$19:G38)+1),"")</f>
        <v/>
      </c>
      <c r="H39" s="68" t="str">
        <f t="shared" ref="H39" si="346">IF(E40=3,"",IF(E40="H","BM",IF(E40="PA",IF(OR(LEFT(J39,1)="L",LEFT(J39,1)="S"),"A-Pair-Lift",IF(OR(LEFT(J39,1)="W",LEFT(J39,1)="T"),"A-Pair-Throw",IF(LEFT(J39,1)="J","A-Pair-Jump","A-Pair"))),IF(OR(E40="A",E40="B",E40="C",E40="P"),CONCATENATE("Acro-",J39),""))))</f>
        <v/>
      </c>
      <c r="I39" s="69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6"/>
      <c r="AC39" s="161"/>
      <c r="AD39" s="161"/>
      <c r="AE39" s="161"/>
      <c r="AF39" s="167"/>
      <c r="AG39" s="47"/>
      <c r="AH39" s="97"/>
      <c r="AI39" s="97"/>
      <c r="AJ39" s="134"/>
      <c r="AK39" s="134"/>
      <c r="AL39" s="134"/>
      <c r="AM39" s="134"/>
      <c r="AN39" s="134"/>
      <c r="AO39" s="134"/>
      <c r="AP39" s="134"/>
      <c r="AQ39" s="134"/>
      <c r="AR39" s="137" t="str">
        <f>IFERROR(TIME(0,A39,B39),"")</f>
        <v/>
      </c>
      <c r="AS39" s="138">
        <f>IFERROR(TIME(0,C39,D39),"")</f>
        <v>0</v>
      </c>
      <c r="AU39" s="132" t="str">
        <f>IF(AND(F39="Hybrid - Thrust",OR(LEFT(J39,1)="T",LEFT(K39,1)="T",LEFT(L39,1)="T",LEFT(JX39,1)="T",LEFT(M39,1)="T",LEFT(N39,1)="T",LEFT(O39,1)="T",LEFT(P39,1)="T",LEFT(Q39,1)="T",LEFT(R39,1)="T",LEFT(S39,1)="T",LEFT(T39,1)="T",LEFT(U39,1)="T",LEFT(V39,1)="T",LEFT(W39,1)="T",LEFT(X39,1)="T",LEFT(Y39,1)="T",LEFT(Z39,1)="T",LEFT(AA39,1)="T")),IF(OR(LEN(J39)=2,LEN(K39)=2,LEN(L39)=2,LEN(M39)=2,LEN(N39)=2,LEN(O39)=2,LEN(P39)=2,LEN(Q39)=2,LEN(R39)=2,LEN(S39)=2,LEN(T39)=2,LEN(U39)=2,LEN(V39)=2,LEN(W39)=2,LEN(X39)=2,LEN(Y39)=2,LEN(Z39)=2,LEN(AA39)=2),"X",""),IF(AND(F39="Hybrid - 720",OR(J39="R3",K39="R3",L39="R3",M39="R3",N39="R3",O39="R3",P39="R3",Q39="R3",R39="R3",S39="R3",T39="R3",U39="R3",V39="R3",W39="R3",X39="R3",Y39="R3",Z39="R3",AA39="R3")),"X",""))</f>
        <v/>
      </c>
      <c r="AW39" s="135">
        <f t="shared" ref="AW39" si="347">COUNTIF(BB39:BS39,"=T1")+COUNTIF(BB39:BS39,"=T2")+COUNTIF(BB39:BS39,"=T3")+COUNTIF(BB39:BS39,"=T4")</f>
        <v>0</v>
      </c>
      <c r="AX39" s="135">
        <f t="shared" ref="AX39" si="348">COUNTIF(BB39:BS39,"=r1")+COUNTIF(BB39:BS39,"=r2")+COUNTIF(BB39:BS39,"=r3")+COUNTIF(BB39:BS39,"=r4")</f>
        <v>0</v>
      </c>
      <c r="AY39" s="135">
        <f t="shared" ref="AY39" si="349">COUNTIF(BB39:BS39,"=A")</f>
        <v>0</v>
      </c>
      <c r="AZ39" s="135">
        <f t="shared" ref="AZ39" si="350">COUNTIF(BB39:BS39,"=F")</f>
        <v>0</v>
      </c>
      <c r="BA39" s="135">
        <f t="shared" ref="BA39" si="351">COUNTIF(BB39:BS39,"=C")</f>
        <v>0</v>
      </c>
      <c r="BB39" s="132" t="str">
        <f t="shared" ref="BB39" si="352">IF($E40="H",IF(OR(LEFT(J39,1)="T",LEFT(J39,1)="R"),LEFT(J39,2),LEFT(J39,1)),"")</f>
        <v/>
      </c>
      <c r="BC39" s="132" t="str">
        <f t="shared" ref="BC39" si="353">IF($E40="H",IF(OR(LEFT(K39,1)="T",LEFT(K39,1)="R"),LEFT(K39,2),LEFT(K39,1)),"")</f>
        <v/>
      </c>
      <c r="BD39" s="132" t="str">
        <f t="shared" ref="BD39" si="354">IF($E40="H",IF(OR(LEFT(L39,1)="T",LEFT(L39,1)="R"),LEFT(L39,2),LEFT(L39,1)),"")</f>
        <v/>
      </c>
      <c r="BE39" s="132" t="str">
        <f t="shared" ref="BE39" si="355">IF($E40="H",IF(OR(LEFT(M39,1)="T",LEFT(M39,1)="R"),LEFT(M39,2),LEFT(M39,1)),"")</f>
        <v/>
      </c>
      <c r="BF39" s="132" t="str">
        <f t="shared" ref="BF39" si="356">IF($E40="H",IF(OR(LEFT(N39,1)="T",LEFT(N39,1)="R"),LEFT(N39,2),LEFT(N39,1)),"")</f>
        <v/>
      </c>
      <c r="BG39" s="132" t="str">
        <f t="shared" ref="BG39" si="357">IF($E40="H",IF(OR(LEFT(O39,1)="T",LEFT(O39,1)="R"),LEFT(O39,2),LEFT(O39,1)),"")</f>
        <v/>
      </c>
      <c r="BH39" s="132" t="str">
        <f t="shared" ref="BH39" si="358">IF($E40="H",IF(OR(LEFT(P39,1)="T",LEFT(P39,1)="R"),LEFT(P39,2),LEFT(P39,1)),"")</f>
        <v/>
      </c>
      <c r="BI39" s="132" t="str">
        <f t="shared" ref="BI39" si="359">IF($E40="H",IF(OR(LEFT(Q39,1)="T",LEFT(Q39,1)="R"),LEFT(Q39,2),LEFT(Q39,1)),"")</f>
        <v/>
      </c>
      <c r="BJ39" s="132" t="str">
        <f t="shared" ref="BJ39" si="360">IF($E40="H",IF(OR(LEFT(R39,1)="T",LEFT(R39,1)="R"),LEFT(R39,2),LEFT(R39,1)),"")</f>
        <v/>
      </c>
      <c r="BK39" s="132" t="str">
        <f t="shared" ref="BK39" si="361">IF($E40="H",IF(OR(LEFT(S39,1)="T",LEFT(S39,1)="R"),LEFT(S39,2),LEFT(S39,1)),"")</f>
        <v/>
      </c>
      <c r="BL39" s="132" t="str">
        <f t="shared" ref="BL39" si="362">IF($E40="H",IF(OR(LEFT(T39,1)="T",LEFT(T39,1)="R"),LEFT(T39,2),LEFT(T39,1)),"")</f>
        <v/>
      </c>
      <c r="BM39" s="132" t="str">
        <f t="shared" ref="BM39" si="363">IF($E40="H",IF(OR(LEFT(U39,1)="T",LEFT(U39,1)="R"),LEFT(U39,2),LEFT(U39,1)),"")</f>
        <v/>
      </c>
      <c r="BN39" s="132" t="str">
        <f t="shared" ref="BN39" si="364">IF($E40="H",IF(OR(LEFT(V39,1)="T",LEFT(V39,1)="R"),LEFT(V39,2),LEFT(V39,1)),"")</f>
        <v/>
      </c>
      <c r="BO39" s="132" t="str">
        <f t="shared" ref="BO39" si="365">IF($E40="H",IF(OR(LEFT(W39,1)="T",LEFT(W39,1)="R"),LEFT(W39,2),LEFT(W39,1)),"")</f>
        <v/>
      </c>
      <c r="BP39" s="132" t="str">
        <f t="shared" ref="BP39" si="366">IF($E40="H",IF(OR(LEFT(X39,1)="T",LEFT(X39,1)="R"),LEFT(X39,2),LEFT(X39,1)),"")</f>
        <v/>
      </c>
      <c r="BQ39" s="132" t="str">
        <f t="shared" ref="BQ39" si="367">IF($E40="H",IF(OR(LEFT(Y39,1)="T",LEFT(Y39,1)="R"),LEFT(Y39,2),LEFT(Y39,1)),"")</f>
        <v/>
      </c>
      <c r="BR39" s="132" t="str">
        <f t="shared" ref="BR39" si="368">IF($E40="H",IF(OR(LEFT(Z39,1)="T",LEFT(Z39,1)="R"),LEFT(Z39,2),LEFT(Z39,1)),"")</f>
        <v/>
      </c>
      <c r="BS39" s="132" t="str">
        <f t="shared" ref="BS39" si="369">IF($E40="H",IF(OR(LEFT(AA39,1)="T",LEFT(AA39,1)="R"),LEFT(AA39,2),LEFT(AA39,1)),"")</f>
        <v/>
      </c>
      <c r="BU39" s="144" t="str">
        <f t="shared" ref="BU39" si="370">IF(OR(LEFT(AB39,2)="PL",LEFT(AC39,2)="PL",LEFT(AD39,2)="PL",LEFT(AE39,2)="PL",LEFT(AF39,2)="PL"),IF($AS$17-AR39&gt;$BU$17,"X",""),"")</f>
        <v/>
      </c>
      <c r="BV39" s="144"/>
      <c r="BW39" s="135">
        <f t="shared" ref="BW39" si="371">IF(COUNTIF(BY39:CC39,BY39)&gt;1,1,IF(COUNTIF(BY39:CC39,BZ39)&gt;1,2,IF(COUNTIF(BY39:CC39,CA39)&gt;1,3,IF(COUNTIF(BY39:CC39,CB39)&gt;1,4,IF(COUNTIF(BY39:CC39,CC39)&gt;1,5,"")))))</f>
        <v>1</v>
      </c>
      <c r="BX39" s="135">
        <f t="shared" ref="BX39" si="372">IF(COUNTIF(BY39:CC39,CC39)&gt;1,5,IF(COUNTIF(BY39:CC39,CB39)&gt;1,4,IF(COUNTIF(BY39:CC39,CA39)&gt;1,3,IF(COUNTIF(BY39:CC39,BZ39)&gt;1,2,IF(COUNTIF(BY39:CC39,BY39)&gt;1,1,"")))))</f>
        <v>5</v>
      </c>
      <c r="BY39" s="132" t="str">
        <f t="shared" ref="BY39" si="373">IFERROR(IF($E40="H",IF(AB39="",BY$18,IF(ISNUMBER(_xlfn.NUMBERVALUE(LEFT(AB39,1))),MID(AB39,2,2),LEFT(AB39,2))),""),"")</f>
        <v/>
      </c>
      <c r="BZ39" s="132" t="str">
        <f t="shared" ref="BZ39" si="374">IFERROR(IF($E40="H",IF(AC39="",BZ$18,IF(ISNUMBER(_xlfn.NUMBERVALUE(LEFT(AC39,1))),MID(AC39,2,2),LEFT(AC39,2))),""),"")</f>
        <v/>
      </c>
      <c r="CA39" s="132" t="str">
        <f t="shared" ref="CA39" si="375">IFERROR(IF($E40="H",IF(AD39="",CA$18,IF(ISNUMBER(_xlfn.NUMBERVALUE(LEFT(AD39,1))),MID(AD39,2,2),LEFT(AD39,2))),""),"")</f>
        <v/>
      </c>
      <c r="CB39" s="132" t="str">
        <f t="shared" ref="CB39" si="376">IFERROR(IF($E40="H",IF(AE39="",CB$18,IF(ISNUMBER(_xlfn.NUMBERVALUE(LEFT(AE39,1))),MID(AE39,2,2),LEFT(AE39,2))),""),"")</f>
        <v/>
      </c>
      <c r="CC39" s="132" t="str">
        <f t="shared" ref="CC39" si="377">IFERROR(IF($E40="H",IF(AF39="",CC$18,IF(ISNUMBER(_xlfn.NUMBERVALUE(LEFT(AF39,1))),MID(AF39,2,2),LEFT(AF39,2))),""),"")</f>
        <v/>
      </c>
      <c r="CE39" s="135" t="str">
        <f t="shared" ref="CE39" si="378">IF(E40=3,_xlfn.NUMBERVALUE(LEFT(J39,1)),"")</f>
        <v/>
      </c>
    </row>
    <row r="40" spans="1:83" x14ac:dyDescent="0.25">
      <c r="A40" s="42"/>
      <c r="B40" s="43"/>
      <c r="C40" s="43"/>
      <c r="D40" s="43"/>
      <c r="E40" s="21" t="str">
        <f t="shared" ref="E40" si="379">IF(F39="Acrobatic","PA",IF(F39="Acrobatic Airborn","A",IF(F39="Acrobatic Balance","B",IF(F39="Acrobatic Combined","C",IF(F39="Acrobatic Platform","P",IF(F39="Technical Required Element",3,IF(LEFT(F39,4)="Hybr","H","")))))))</f>
        <v/>
      </c>
      <c r="F40" s="21" t="str">
        <f>IF(OR(F39="Acrobatic Airborn",F39="Acrobatic Balance",F39="Acrobatic Combined",F39="Acrobatic Platform"),"Acrobatic",IF(AND(F39="Hybrid - Thrust",AU39="X"),"Hybrid - Thrust - X",IF(AND(F39="Hybrid - 720",AU39="X"),"Hybrid - 720 - X","")))</f>
        <v/>
      </c>
      <c r="G40" s="45"/>
      <c r="H40" s="68" t="str">
        <f t="shared" si="2"/>
        <v/>
      </c>
      <c r="I40" s="69"/>
      <c r="J40" s="16">
        <f>IFERROR(IF($E40="",0,IF(AND($E40="H",$F$8&lt;&gt;"Acrobatic"),VLOOKUP(J39,HybridDDX,2,FALSE),IF($E40="PA",VLOOKUP(J39,AcroPairDDX,2,FALSE),IF(OR($E40="A",$E40="B",$E40="C",$E40="P"),0,IF($E40=3,VLOOKUP(J39,TreDDX,2,FALSE),0))))),0)</f>
        <v>0</v>
      </c>
      <c r="K40" s="16">
        <f>IFERROR(IF($E40="",0,IF(AND($E40="H",$F$8&lt;&gt;"Acrobatic"),VLOOKUP(K39,HybridDDX,2,FALSE),IF($E40="PA",0,IF($E40="A",SUMPRODUCT(--EXACT(K39,AcroADD2),AcroADD2X),IF($E40="B",SUMPRODUCT(--EXACT(K39,AcroBDD2),AcroBDD2X),IF($E40="C",SUMPRODUCT(--EXACT(K39,AcroCDD2),AcroCDD2X),IF($E40="P",SUMPRODUCT(--EXACT(K39,AcroPDD2),AcroPDD2X),IF($E40=3,0,0)))))))),0)</f>
        <v>0</v>
      </c>
      <c r="L40" s="16">
        <f t="array" ref="L40">IFERROR(IF($E40="",0,IF(AND($E40="H",$F$8&lt;&gt;"Acrobatic"),VLOOKUP(L39,HybridDDX,2,FALSE),IF($E40="PA",0,IF($E40="A",SUMPRODUCT(--EXACT(L39,AcroADD3),AcroADD3X),IF($E40="B",SUMPRODUCT(--EXACT(CONCATENATE(LEN(L39),L39),AcroBDD3W),AcroBDD3X),IF($E40="C",SUMPRODUCT(--EXACT(L39,AcroCDD3),AcroCDD3X),IF($E40="P",SUMPRODUCT(--EXACT(L39,AcroPDD3),AcroPDD3X),IF($E40=3,0,0)))))))),0)</f>
        <v>0</v>
      </c>
      <c r="M40" s="16">
        <f>IFERROR(IF($E40="",0,IF(AND($E40="H",$F$8&lt;&gt;"Acrobatic"),VLOOKUP(M39,HybridDDX,2,FALSE),IF($E40="PA",0,IF($E40="A",SUMPRODUCT(--EXACT(M39,AcroADD4p1),AcroADD4p1X),IF($E40="B",SUMPRODUCT(--EXACT(M39,AcroBDD4p1),AcroBDD4p1X),IF($E40="C",SUMPRODUCT(--EXACT(M39,AcroCDD4p1),AcroCDD4p1X),IF($E40="P",SUMPRODUCT(--EXACT(M39,AcroPDD4p1),AcroPDD4p1X),IF($E40=3,0,0)))))))),0)</f>
        <v>0</v>
      </c>
      <c r="N40" s="16">
        <f>IFERROR(IF($E40="",0,IF(AND($E40="H",$F$8&lt;&gt;"Acrobatic"),VLOOKUP(N39,HybridDDX,2,FALSE),IF($E40="PA",0,IF($E40="A",SUMPRODUCT(--EXACT(N39,AcroADD4p2),AcroADD4p2X),IF($E40="B",SUMPRODUCT(--EXACT(N39,AcroBDD4p2),AcroBDD4p2X),IF($E40="C",SUMPRODUCT(--EXACT(N39,AcroCDD4p2),AcroCDD4p2X),IF($E40="P",SUMPRODUCT(--EXACT(N39,AcroPDD4p2),AcroPDD4p2X),IF($E40=3,0,0)))))))),0)</f>
        <v>0</v>
      </c>
      <c r="O40" s="16">
        <f>IFERROR(IF($E40="",0,IF(AND($E40="H",$F$8&lt;&gt;"Acrobatic"),VLOOKUP(O39,HybridDDX,2,FALSE),IF($E40="PA",0,IF($E40="A",SUMPRODUCT(--EXACT(O39,AcroADD5),AcroADD5X),IF($E40="B",SUMPRODUCT(--EXACT(O39,AcroBDD5),AcroBDD5X),IF($E40="C",SUMPRODUCT(--EXACT(O39,AcroCDD5),AcroCDD5X),IF($E40="P",SUMPRODUCT(--EXACT(O39,AcroPDD5),AcroPDD5X),IF($E40=3,0,0)))))))),0)</f>
        <v>0</v>
      </c>
      <c r="P40" s="16">
        <f>IFERROR(IF($E40="",0,IF(AND($E40="H",$F$8&lt;&gt;"Acrobatic"),VLOOKUP(P39,HybridDDX,2,FALSE),IF($E40="C",SUMPRODUCT(--EXACT(P39,AcroCDD6),AcroCDD6X),0))),0)</f>
        <v>0</v>
      </c>
      <c r="Q40" s="16">
        <f t="shared" ref="Q40:AA40" si="380">IFERROR(IF($E40="",0,IF(AND($E40="H",$F$8&lt;&gt;"Acrobatic"),VLOOKUP(Q39,HybridDDX,2,FALSE),0)),0)</f>
        <v>0</v>
      </c>
      <c r="R40" s="16">
        <f t="shared" si="380"/>
        <v>0</v>
      </c>
      <c r="S40" s="16">
        <f t="shared" si="380"/>
        <v>0</v>
      </c>
      <c r="T40" s="16">
        <f t="shared" si="380"/>
        <v>0</v>
      </c>
      <c r="U40" s="16">
        <f t="shared" si="380"/>
        <v>0</v>
      </c>
      <c r="V40" s="16">
        <f t="shared" si="380"/>
        <v>0</v>
      </c>
      <c r="W40" s="16">
        <f t="shared" si="380"/>
        <v>0</v>
      </c>
      <c r="X40" s="16">
        <f t="shared" si="380"/>
        <v>0</v>
      </c>
      <c r="Y40" s="16">
        <f t="shared" si="380"/>
        <v>0</v>
      </c>
      <c r="Z40" s="16">
        <f t="shared" si="380"/>
        <v>0</v>
      </c>
      <c r="AA40" s="16">
        <f t="shared" si="380"/>
        <v>0</v>
      </c>
      <c r="AB40" s="28">
        <f>IFERROR(IF($E40="",0,IF(AND($E40="H",$F$8&lt;&gt;"Acrobatic"),VLOOKUP(AB39,BonusDDX,2,FALSE),IF($E40="A",VLOOKUP(AB39,AcroABonusX,2,FALSE),IF($E40="B",VLOOKUP(AB39,AcroBBonusX,2,FALSE),IF($E40="C",VLOOKUP(AB39,AcroCBonusX,2,FALSE),IF($E40="P",VLOOKUP(AB39,AcroPBonusX,2,FALSE),0)))))),0)</f>
        <v>0</v>
      </c>
      <c r="AC40" s="16">
        <f>IFERROR(IF($E40="",0,IF(AND($E40="H",$F$8&lt;&gt;"Acrobatic"),VLOOKUP(AC39,BonusDDX,2,FALSE),IF($E40="A",VLOOKUP(AC39,AcroABonusX,2,FALSE),IF($E40="B",VLOOKUP(AC39,AcroBBonusX,2,FALSE),IF($E40="C",VLOOKUP(AC39,AcroCBonusX,2,FALSE),IF($E40="P",VLOOKUP(AC39,AcroPBonusX,2,FALSE),0)))))),0)</f>
        <v>0</v>
      </c>
      <c r="AD40" s="16">
        <f>IFERROR(IF($E40="",0,IF(AND($E40="H",$F$8&lt;&gt;"Acrobatic"),VLOOKUP(AD39,BonusDDX,2,FALSE),0)),0)</f>
        <v>0</v>
      </c>
      <c r="AE40" s="16">
        <f>IFERROR(IF($E40="",0,IF(AND($E40="H",$F$8&lt;&gt;"Acrobatic"),VLOOKUP(AE39,BonusDDX,2,FALSE),0)),0)</f>
        <v>0</v>
      </c>
      <c r="AF40" s="46">
        <f>IFERROR(IF($E40="",0,IF(AND($E40="H",$F$8&lt;&gt;"Acrobatic"),VLOOKUP(AF39,BonusDDX,2,FALSE),0)),0)</f>
        <v>0</v>
      </c>
      <c r="AG40" s="71">
        <f t="shared" ref="AG40" si="381">SUM(H40:AF40)</f>
        <v>0</v>
      </c>
      <c r="AH40" s="98"/>
      <c r="AI40" s="98"/>
      <c r="AJ40" s="145"/>
      <c r="AK40" s="145"/>
      <c r="AL40" s="145"/>
      <c r="AM40" s="145"/>
      <c r="AN40" s="145"/>
      <c r="AO40" s="145"/>
      <c r="AP40" s="145"/>
      <c r="AQ40" s="145"/>
      <c r="AR40" s="146" t="str">
        <f>IFERROR(IF($N$7="X",IF(AND(E40="C",AG40&gt;2.45),"X",IF(AND(E40="A",AG40&gt;2.65),"X",IF(AND(E40="B",AG40&gt;2.6),"X",IF(AND(E40="P",AG40&gt;2.5),"X","")))),""),"")</f>
        <v/>
      </c>
      <c r="AS40" s="138"/>
      <c r="AU40" s="132"/>
    </row>
    <row r="41" spans="1:83" x14ac:dyDescent="0.25">
      <c r="A41" s="42" t="str">
        <f t="shared" ref="A41" si="382">IF(AND(E39="",A39&lt;&gt;""),IF(AS39=$AS$18,"",IF(C39&lt;&gt;"",IF(D39=59,MINUTE(AS39)+1,MINUTE(AS39)),"")),"")</f>
        <v/>
      </c>
      <c r="B41" s="43" t="str">
        <f t="shared" ref="B41" si="383">IF(AND(E39="",B39&lt;&gt;""),IF(AS39=$AS$18,"",IF(C39&lt;&gt;"",IF(D39=59,0,SECOND(AS39)+1),"")),"")</f>
        <v/>
      </c>
      <c r="C41" s="54"/>
      <c r="D41" s="54"/>
      <c r="E41" s="9"/>
      <c r="F41" s="55"/>
      <c r="G41" s="45" t="str">
        <f>IF(F41&lt;&gt;"",IF(OR(F41="Transition",F41="Connected Surface Movment",F41="Cadense"),0,MAX($G$19:G40)+1),"")</f>
        <v/>
      </c>
      <c r="H41" s="68" t="str">
        <f t="shared" ref="H41" si="384">IF(E42=3,"",IF(E42="H","BM",IF(E42="PA",IF(OR(LEFT(J41,1)="L",LEFT(J41,1)="S"),"A-Pair-Lift",IF(OR(LEFT(J41,1)="W",LEFT(J41,1)="T"),"A-Pair-Throw",IF(LEFT(J41,1)="J","A-Pair-Jump","A-Pair"))),IF(OR(E42="A",E42="B",E42="C",E42="P"),CONCATENATE("Acro-",J41),""))))</f>
        <v/>
      </c>
      <c r="I41" s="69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6"/>
      <c r="AC41" s="161"/>
      <c r="AD41" s="161"/>
      <c r="AE41" s="161"/>
      <c r="AF41" s="167"/>
      <c r="AG41" s="47"/>
      <c r="AH41" s="97"/>
      <c r="AI41" s="97"/>
      <c r="AJ41" s="134"/>
      <c r="AK41" s="134"/>
      <c r="AL41" s="134"/>
      <c r="AM41" s="134"/>
      <c r="AN41" s="134"/>
      <c r="AO41" s="134"/>
      <c r="AP41" s="134"/>
      <c r="AQ41" s="134"/>
      <c r="AR41" s="137" t="str">
        <f>IFERROR(TIME(0,A41,B41),"")</f>
        <v/>
      </c>
      <c r="AS41" s="138">
        <f>IFERROR(TIME(0,C41,D41),"")</f>
        <v>0</v>
      </c>
      <c r="AU41" s="132" t="str">
        <f>IF(AND(F41="Hybrid - Thrust",OR(LEFT(J41,1)="T",LEFT(K41,1)="T",LEFT(L41,1)="T",LEFT(JX41,1)="T",LEFT(M41,1)="T",LEFT(N41,1)="T",LEFT(O41,1)="T",LEFT(P41,1)="T",LEFT(Q41,1)="T",LEFT(R41,1)="T",LEFT(S41,1)="T",LEFT(T41,1)="T",LEFT(U41,1)="T",LEFT(V41,1)="T",LEFT(W41,1)="T",LEFT(X41,1)="T",LEFT(Y41,1)="T",LEFT(Z41,1)="T",LEFT(AA41,1)="T")),IF(OR(LEN(J41)=2,LEN(K41)=2,LEN(L41)=2,LEN(M41)=2,LEN(N41)=2,LEN(O41)=2,LEN(P41)=2,LEN(Q41)=2,LEN(R41)=2,LEN(S41)=2,LEN(T41)=2,LEN(U41)=2,LEN(V41)=2,LEN(W41)=2,LEN(X41)=2,LEN(Y41)=2,LEN(Z41)=2,LEN(AA41)=2),"X",""),IF(AND(F41="Hybrid - 720",OR(J41="R3",K41="R3",L41="R3",M41="R3",N41="R3",O41="R3",P41="R3",Q41="R3",R41="R3",S41="R3",T41="R3",U41="R3",V41="R3",W41="R3",X41="R3",Y41="R3",Z41="R3",AA41="R3")),"X",""))</f>
        <v/>
      </c>
      <c r="AW41" s="135">
        <f t="shared" ref="AW41" si="385">COUNTIF(BB41:BS41,"=T1")+COUNTIF(BB41:BS41,"=T2")+COUNTIF(BB41:BS41,"=T3")+COUNTIF(BB41:BS41,"=T4")</f>
        <v>0</v>
      </c>
      <c r="AX41" s="135">
        <f t="shared" ref="AX41" si="386">COUNTIF(BB41:BS41,"=r1")+COUNTIF(BB41:BS41,"=r2")+COUNTIF(BB41:BS41,"=r3")+COUNTIF(BB41:BS41,"=r4")</f>
        <v>0</v>
      </c>
      <c r="AY41" s="135">
        <f t="shared" ref="AY41" si="387">COUNTIF(BB41:BS41,"=A")</f>
        <v>0</v>
      </c>
      <c r="AZ41" s="135">
        <f t="shared" ref="AZ41" si="388">COUNTIF(BB41:BS41,"=F")</f>
        <v>0</v>
      </c>
      <c r="BA41" s="135">
        <f t="shared" ref="BA41" si="389">COUNTIF(BB41:BS41,"=C")</f>
        <v>0</v>
      </c>
      <c r="BB41" s="132" t="str">
        <f t="shared" ref="BB41" si="390">IF($E42="H",IF(OR(LEFT(J41,1)="T",LEFT(J41,1)="R"),LEFT(J41,2),LEFT(J41,1)),"")</f>
        <v/>
      </c>
      <c r="BC41" s="132" t="str">
        <f t="shared" ref="BC41" si="391">IF($E42="H",IF(OR(LEFT(K41,1)="T",LEFT(K41,1)="R"),LEFT(K41,2),LEFT(K41,1)),"")</f>
        <v/>
      </c>
      <c r="BD41" s="132" t="str">
        <f t="shared" ref="BD41" si="392">IF($E42="H",IF(OR(LEFT(L41,1)="T",LEFT(L41,1)="R"),LEFT(L41,2),LEFT(L41,1)),"")</f>
        <v/>
      </c>
      <c r="BE41" s="132" t="str">
        <f t="shared" ref="BE41" si="393">IF($E42="H",IF(OR(LEFT(M41,1)="T",LEFT(M41,1)="R"),LEFT(M41,2),LEFT(M41,1)),"")</f>
        <v/>
      </c>
      <c r="BF41" s="132" t="str">
        <f t="shared" ref="BF41" si="394">IF($E42="H",IF(OR(LEFT(N41,1)="T",LEFT(N41,1)="R"),LEFT(N41,2),LEFT(N41,1)),"")</f>
        <v/>
      </c>
      <c r="BG41" s="132" t="str">
        <f t="shared" ref="BG41" si="395">IF($E42="H",IF(OR(LEFT(O41,1)="T",LEFT(O41,1)="R"),LEFT(O41,2),LEFT(O41,1)),"")</f>
        <v/>
      </c>
      <c r="BH41" s="132" t="str">
        <f t="shared" ref="BH41" si="396">IF($E42="H",IF(OR(LEFT(P41,1)="T",LEFT(P41,1)="R"),LEFT(P41,2),LEFT(P41,1)),"")</f>
        <v/>
      </c>
      <c r="BI41" s="132" t="str">
        <f t="shared" ref="BI41" si="397">IF($E42="H",IF(OR(LEFT(Q41,1)="T",LEFT(Q41,1)="R"),LEFT(Q41,2),LEFT(Q41,1)),"")</f>
        <v/>
      </c>
      <c r="BJ41" s="132" t="str">
        <f t="shared" ref="BJ41" si="398">IF($E42="H",IF(OR(LEFT(R41,1)="T",LEFT(R41,1)="R"),LEFT(R41,2),LEFT(R41,1)),"")</f>
        <v/>
      </c>
      <c r="BK41" s="132" t="str">
        <f t="shared" ref="BK41" si="399">IF($E42="H",IF(OR(LEFT(S41,1)="T",LEFT(S41,1)="R"),LEFT(S41,2),LEFT(S41,1)),"")</f>
        <v/>
      </c>
      <c r="BL41" s="132" t="str">
        <f t="shared" ref="BL41" si="400">IF($E42="H",IF(OR(LEFT(T41,1)="T",LEFT(T41,1)="R"),LEFT(T41,2),LEFT(T41,1)),"")</f>
        <v/>
      </c>
      <c r="BM41" s="132" t="str">
        <f t="shared" ref="BM41" si="401">IF($E42="H",IF(OR(LEFT(U41,1)="T",LEFT(U41,1)="R"),LEFT(U41,2),LEFT(U41,1)),"")</f>
        <v/>
      </c>
      <c r="BN41" s="132" t="str">
        <f t="shared" ref="BN41" si="402">IF($E42="H",IF(OR(LEFT(V41,1)="T",LEFT(V41,1)="R"),LEFT(V41,2),LEFT(V41,1)),"")</f>
        <v/>
      </c>
      <c r="BO41" s="132" t="str">
        <f t="shared" ref="BO41" si="403">IF($E42="H",IF(OR(LEFT(W41,1)="T",LEFT(W41,1)="R"),LEFT(W41,2),LEFT(W41,1)),"")</f>
        <v/>
      </c>
      <c r="BP41" s="132" t="str">
        <f t="shared" ref="BP41" si="404">IF($E42="H",IF(OR(LEFT(X41,1)="T",LEFT(X41,1)="R"),LEFT(X41,2),LEFT(X41,1)),"")</f>
        <v/>
      </c>
      <c r="BQ41" s="132" t="str">
        <f t="shared" ref="BQ41" si="405">IF($E42="H",IF(OR(LEFT(Y41,1)="T",LEFT(Y41,1)="R"),LEFT(Y41,2),LEFT(Y41,1)),"")</f>
        <v/>
      </c>
      <c r="BR41" s="132" t="str">
        <f t="shared" ref="BR41" si="406">IF($E42="H",IF(OR(LEFT(Z41,1)="T",LEFT(Z41,1)="R"),LEFT(Z41,2),LEFT(Z41,1)),"")</f>
        <v/>
      </c>
      <c r="BS41" s="132" t="str">
        <f t="shared" ref="BS41" si="407">IF($E42="H",IF(OR(LEFT(AA41,1)="T",LEFT(AA41,1)="R"),LEFT(AA41,2),LEFT(AA41,1)),"")</f>
        <v/>
      </c>
      <c r="BU41" s="144" t="str">
        <f t="shared" ref="BU41" si="408">IF(OR(LEFT(AB41,2)="PL",LEFT(AC41,2)="PL",LEFT(AD41,2)="PL",LEFT(AE41,2)="PL",LEFT(AF41,2)="PL"),IF($AS$17-AR41&gt;$BU$17,"X",""),"")</f>
        <v/>
      </c>
      <c r="BV41" s="144"/>
      <c r="BW41" s="135">
        <f t="shared" ref="BW41" si="409">IF(COUNTIF(BY41:CC41,BY41)&gt;1,1,IF(COUNTIF(BY41:CC41,BZ41)&gt;1,2,IF(COUNTIF(BY41:CC41,CA41)&gt;1,3,IF(COUNTIF(BY41:CC41,CB41)&gt;1,4,IF(COUNTIF(BY41:CC41,CC41)&gt;1,5,"")))))</f>
        <v>1</v>
      </c>
      <c r="BX41" s="135">
        <f t="shared" ref="BX41" si="410">IF(COUNTIF(BY41:CC41,CC41)&gt;1,5,IF(COUNTIF(BY41:CC41,CB41)&gt;1,4,IF(COUNTIF(BY41:CC41,CA41)&gt;1,3,IF(COUNTIF(BY41:CC41,BZ41)&gt;1,2,IF(COUNTIF(BY41:CC41,BY41)&gt;1,1,"")))))</f>
        <v>5</v>
      </c>
      <c r="BY41" s="132" t="str">
        <f t="shared" ref="BY41" si="411">IFERROR(IF($E42="H",IF(AB41="",BY$18,IF(ISNUMBER(_xlfn.NUMBERVALUE(LEFT(AB41,1))),MID(AB41,2,2),LEFT(AB41,2))),""),"")</f>
        <v/>
      </c>
      <c r="BZ41" s="132" t="str">
        <f t="shared" ref="BZ41" si="412">IFERROR(IF($E42="H",IF(AC41="",BZ$18,IF(ISNUMBER(_xlfn.NUMBERVALUE(LEFT(AC41,1))),MID(AC41,2,2),LEFT(AC41,2))),""),"")</f>
        <v/>
      </c>
      <c r="CA41" s="132" t="str">
        <f t="shared" ref="CA41" si="413">IFERROR(IF($E42="H",IF(AD41="",CA$18,IF(ISNUMBER(_xlfn.NUMBERVALUE(LEFT(AD41,1))),MID(AD41,2,2),LEFT(AD41,2))),""),"")</f>
        <v/>
      </c>
      <c r="CB41" s="132" t="str">
        <f t="shared" ref="CB41" si="414">IFERROR(IF($E42="H",IF(AE41="",CB$18,IF(ISNUMBER(_xlfn.NUMBERVALUE(LEFT(AE41,1))),MID(AE41,2,2),LEFT(AE41,2))),""),"")</f>
        <v/>
      </c>
      <c r="CC41" s="132" t="str">
        <f t="shared" ref="CC41" si="415">IFERROR(IF($E42="H",IF(AF41="",CC$18,IF(ISNUMBER(_xlfn.NUMBERVALUE(LEFT(AF41,1))),MID(AF41,2,2),LEFT(AF41,2))),""),"")</f>
        <v/>
      </c>
      <c r="CE41" s="135" t="str">
        <f t="shared" ref="CE41" si="416">IF(E42=3,_xlfn.NUMBERVALUE(LEFT(J41,1)),"")</f>
        <v/>
      </c>
    </row>
    <row r="42" spans="1:83" x14ac:dyDescent="0.25">
      <c r="A42" s="42"/>
      <c r="B42" s="43"/>
      <c r="C42" s="43"/>
      <c r="D42" s="43"/>
      <c r="E42" s="21" t="str">
        <f t="shared" ref="E42" si="417">IF(F41="Acrobatic","PA",IF(F41="Acrobatic Airborn","A",IF(F41="Acrobatic Balance","B",IF(F41="Acrobatic Combined","C",IF(F41="Acrobatic Platform","P",IF(F41="Technical Required Element",3,IF(LEFT(F41,4)="Hybr","H","")))))))</f>
        <v/>
      </c>
      <c r="F42" s="21" t="str">
        <f>IF(OR(F41="Acrobatic Airborn",F41="Acrobatic Balance",F41="Acrobatic Combined",F41="Acrobatic Platform"),"Acrobatic",IF(AND(F41="Hybrid - Thrust",AU41="X"),"Hybrid - Thrust - X",IF(AND(F41="Hybrid - 720",AU41="X"),"Hybrid - 720 - X","")))</f>
        <v/>
      </c>
      <c r="G42" s="45"/>
      <c r="H42" s="68" t="str">
        <f t="shared" si="2"/>
        <v/>
      </c>
      <c r="I42" s="69"/>
      <c r="J42" s="16">
        <f>IFERROR(IF($E42="",0,IF(AND($E42="H",$F$8&lt;&gt;"Acrobatic"),VLOOKUP(J41,HybridDDX,2,FALSE),IF($E42="PA",VLOOKUP(J41,AcroPairDDX,2,FALSE),IF(OR($E42="A",$E42="B",$E42="C",$E42="P"),0,IF($E42=3,VLOOKUP(J41,TreDDX,2,FALSE),0))))),0)</f>
        <v>0</v>
      </c>
      <c r="K42" s="16">
        <f>IFERROR(IF($E42="",0,IF(AND($E42="H",$F$8&lt;&gt;"Acrobatic"),VLOOKUP(K41,HybridDDX,2,FALSE),IF($E42="PA",0,IF($E42="A",SUMPRODUCT(--EXACT(K41,AcroADD2),AcroADD2X),IF($E42="B",SUMPRODUCT(--EXACT(K41,AcroBDD2),AcroBDD2X),IF($E42="C",SUMPRODUCT(--EXACT(K41,AcroCDD2),AcroCDD2X),IF($E42="P",SUMPRODUCT(--EXACT(K41,AcroPDD2),AcroPDD2X),IF($E42=3,0,0)))))))),0)</f>
        <v>0</v>
      </c>
      <c r="L42" s="16">
        <f t="array" ref="L42">IFERROR(IF($E42="",0,IF(AND($E42="H",$F$8&lt;&gt;"Acrobatic"),VLOOKUP(L41,HybridDDX,2,FALSE),IF($E42="PA",0,IF($E42="A",SUMPRODUCT(--EXACT(L41,AcroADD3),AcroADD3X),IF($E42="B",SUMPRODUCT(--EXACT(CONCATENATE(LEN(L41),L41),AcroBDD3W),AcroBDD3X),IF($E42="C",SUMPRODUCT(--EXACT(L41,AcroCDD3),AcroCDD3X),IF($E42="P",SUMPRODUCT(--EXACT(L41,AcroPDD3),AcroPDD3X),IF($E42=3,0,0)))))))),0)</f>
        <v>0</v>
      </c>
      <c r="M42" s="16">
        <f>IFERROR(IF($E42="",0,IF(AND($E42="H",$F$8&lt;&gt;"Acrobatic"),VLOOKUP(M41,HybridDDX,2,FALSE),IF($E42="PA",0,IF($E42="A",SUMPRODUCT(--EXACT(M41,AcroADD4p1),AcroADD4p1X),IF($E42="B",SUMPRODUCT(--EXACT(M41,AcroBDD4p1),AcroBDD4p1X),IF($E42="C",SUMPRODUCT(--EXACT(M41,AcroCDD4p1),AcroCDD4p1X),IF($E42="P",SUMPRODUCT(--EXACT(M41,AcroPDD4p1),AcroPDD4p1X),IF($E42=3,0,0)))))))),0)</f>
        <v>0</v>
      </c>
      <c r="N42" s="16">
        <f>IFERROR(IF($E42="",0,IF(AND($E42="H",$F$8&lt;&gt;"Acrobatic"),VLOOKUP(N41,HybridDDX,2,FALSE),IF($E42="PA",0,IF($E42="A",SUMPRODUCT(--EXACT(N41,AcroADD4p2),AcroADD4p2X),IF($E42="B",SUMPRODUCT(--EXACT(N41,AcroBDD4p2),AcroBDD4p2X),IF($E42="C",SUMPRODUCT(--EXACT(N41,AcroCDD4p2),AcroCDD4p2X),IF($E42="P",SUMPRODUCT(--EXACT(N41,AcroPDD4p2),AcroPDD4p2X),IF($E42=3,0,0)))))))),0)</f>
        <v>0</v>
      </c>
      <c r="O42" s="16">
        <f>IFERROR(IF($E42="",0,IF(AND($E42="H",$F$8&lt;&gt;"Acrobatic"),VLOOKUP(O41,HybridDDX,2,FALSE),IF($E42="PA",0,IF($E42="A",SUMPRODUCT(--EXACT(O41,AcroADD5),AcroADD5X),IF($E42="B",SUMPRODUCT(--EXACT(O41,AcroBDD5),AcroBDD5X),IF($E42="C",SUMPRODUCT(--EXACT(O41,AcroCDD5),AcroCDD5X),IF($E42="P",SUMPRODUCT(--EXACT(O41,AcroPDD5),AcroPDD5X),IF($E42=3,0,0)))))))),0)</f>
        <v>0</v>
      </c>
      <c r="P42" s="16">
        <f>IFERROR(IF($E42="",0,IF(AND($E42="H",$F$8&lt;&gt;"Acrobatic"),VLOOKUP(P41,HybridDDX,2,FALSE),IF($E42="C",SUMPRODUCT(--EXACT(P41,AcroCDD6),AcroCDD6X),0))),0)</f>
        <v>0</v>
      </c>
      <c r="Q42" s="16">
        <f t="shared" ref="Q42:AA42" si="418">IFERROR(IF($E42="",0,IF(AND($E42="H",$F$8&lt;&gt;"Acrobatic"),VLOOKUP(Q41,HybridDDX,2,FALSE),0)),0)</f>
        <v>0</v>
      </c>
      <c r="R42" s="16">
        <f t="shared" si="418"/>
        <v>0</v>
      </c>
      <c r="S42" s="16">
        <f t="shared" si="418"/>
        <v>0</v>
      </c>
      <c r="T42" s="16">
        <f t="shared" si="418"/>
        <v>0</v>
      </c>
      <c r="U42" s="16">
        <f t="shared" si="418"/>
        <v>0</v>
      </c>
      <c r="V42" s="16">
        <f t="shared" si="418"/>
        <v>0</v>
      </c>
      <c r="W42" s="16">
        <f t="shared" si="418"/>
        <v>0</v>
      </c>
      <c r="X42" s="16">
        <f t="shared" si="418"/>
        <v>0</v>
      </c>
      <c r="Y42" s="16">
        <f t="shared" si="418"/>
        <v>0</v>
      </c>
      <c r="Z42" s="16">
        <f t="shared" si="418"/>
        <v>0</v>
      </c>
      <c r="AA42" s="16">
        <f t="shared" si="418"/>
        <v>0</v>
      </c>
      <c r="AB42" s="28">
        <f>IFERROR(IF($E42="",0,IF(AND($E42="H",$F$8&lt;&gt;"Acrobatic"),VLOOKUP(AB41,BonusDDX,2,FALSE),IF($E42="A",VLOOKUP(AB41,AcroABonusX,2,FALSE),IF($E42="B",VLOOKUP(AB41,AcroBBonusX,2,FALSE),IF($E42="C",VLOOKUP(AB41,AcroCBonusX,2,FALSE),IF($E42="P",VLOOKUP(AB41,AcroPBonusX,2,FALSE),0)))))),0)</f>
        <v>0</v>
      </c>
      <c r="AC42" s="16">
        <f>IFERROR(IF($E42="",0,IF(AND($E42="H",$F$8&lt;&gt;"Acrobatic"),VLOOKUP(AC41,BonusDDX,2,FALSE),IF($E42="A",VLOOKUP(AC41,AcroABonusX,2,FALSE),IF($E42="B",VLOOKUP(AC41,AcroBBonusX,2,FALSE),IF($E42="C",VLOOKUP(AC41,AcroCBonusX,2,FALSE),IF($E42="P",VLOOKUP(AC41,AcroPBonusX,2,FALSE),0)))))),0)</f>
        <v>0</v>
      </c>
      <c r="AD42" s="16">
        <f>IFERROR(IF($E42="",0,IF(AND($E42="H",$F$8&lt;&gt;"Acrobatic"),VLOOKUP(AD41,BonusDDX,2,FALSE),0)),0)</f>
        <v>0</v>
      </c>
      <c r="AE42" s="16">
        <f>IFERROR(IF($E42="",0,IF(AND($E42="H",$F$8&lt;&gt;"Acrobatic"),VLOOKUP(AE41,BonusDDX,2,FALSE),0)),0)</f>
        <v>0</v>
      </c>
      <c r="AF42" s="46">
        <f>IFERROR(IF($E42="",0,IF(AND($E42="H",$F$8&lt;&gt;"Acrobatic"),VLOOKUP(AF41,BonusDDX,2,FALSE),0)),0)</f>
        <v>0</v>
      </c>
      <c r="AG42" s="71">
        <f t="shared" ref="AG42" si="419">SUM(H42:AF42)</f>
        <v>0</v>
      </c>
      <c r="AH42" s="98"/>
      <c r="AI42" s="98"/>
      <c r="AJ42" s="145"/>
      <c r="AK42" s="145"/>
      <c r="AL42" s="145"/>
      <c r="AM42" s="145"/>
      <c r="AN42" s="145"/>
      <c r="AO42" s="145"/>
      <c r="AP42" s="145"/>
      <c r="AQ42" s="145"/>
      <c r="AR42" s="146" t="str">
        <f>IFERROR(IF($N$7="X",IF(AND(E42="C",AG42&gt;2.45),"X",IF(AND(E42="A",AG42&gt;2.65),"X",IF(AND(E42="B",AG42&gt;2.6),"X",IF(AND(E42="P",AG42&gt;2.5),"X","")))),""),"")</f>
        <v/>
      </c>
      <c r="AS42" s="138"/>
      <c r="AU42" s="132"/>
    </row>
    <row r="43" spans="1:83" x14ac:dyDescent="0.25">
      <c r="A43" s="42" t="str">
        <f t="shared" ref="A43" si="420">IF(AND(E41="",A41&lt;&gt;""),IF(AS41=$AS$18,"",IF(C41&lt;&gt;"",IF(D41=59,MINUTE(AS41)+1,MINUTE(AS41)),"")),"")</f>
        <v/>
      </c>
      <c r="B43" s="43" t="str">
        <f t="shared" ref="B43" si="421">IF(AND(E41="",B41&lt;&gt;""),IF(AS41=$AS$18,"",IF(C41&lt;&gt;"",IF(D41=59,0,SECOND(AS41)+1),"")),"")</f>
        <v/>
      </c>
      <c r="C43" s="54"/>
      <c r="D43" s="54"/>
      <c r="E43" s="9"/>
      <c r="F43" s="55"/>
      <c r="G43" s="45" t="str">
        <f>IF(F43&lt;&gt;"",IF(OR(F43="Transition",F43="Connected Surface Movment",F43="Cadense"),0,MAX($G$19:G42)+1),"")</f>
        <v/>
      </c>
      <c r="H43" s="68" t="str">
        <f t="shared" ref="H43" si="422">IF(E44=3,"",IF(E44="H","BM",IF(E44="PA",IF(OR(LEFT(J43,1)="L",LEFT(J43,1)="S"),"A-Pair-Lift",IF(OR(LEFT(J43,1)="W",LEFT(J43,1)="T"),"A-Pair-Throw",IF(LEFT(J43,1)="J","A-Pair-Jump","A-Pair"))),IF(OR(E44="A",E44="B",E44="C",E44="P"),CONCATENATE("Acro-",J43),""))))</f>
        <v/>
      </c>
      <c r="I43" s="69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6"/>
      <c r="AC43" s="161"/>
      <c r="AD43" s="161"/>
      <c r="AE43" s="161"/>
      <c r="AF43" s="167"/>
      <c r="AG43" s="47"/>
      <c r="AH43" s="97"/>
      <c r="AI43" s="97"/>
      <c r="AJ43" s="134"/>
      <c r="AK43" s="134"/>
      <c r="AL43" s="134"/>
      <c r="AM43" s="134"/>
      <c r="AN43" s="134"/>
      <c r="AO43" s="134"/>
      <c r="AP43" s="134"/>
      <c r="AQ43" s="134"/>
      <c r="AR43" s="137" t="str">
        <f>IFERROR(TIME(0,A43,B43),"")</f>
        <v/>
      </c>
      <c r="AS43" s="138">
        <f>IFERROR(TIME(0,C43,D43),"")</f>
        <v>0</v>
      </c>
      <c r="AU43" s="132" t="str">
        <f>IF(AND(F43="Hybrid - Thrust",OR(LEFT(J43,1)="T",LEFT(K43,1)="T",LEFT(L43,1)="T",LEFT(JX43,1)="T",LEFT(M43,1)="T",LEFT(N43,1)="T",LEFT(O43,1)="T",LEFT(P43,1)="T",LEFT(Q43,1)="T",LEFT(R43,1)="T",LEFT(S43,1)="T",LEFT(T43,1)="T",LEFT(U43,1)="T",LEFT(V43,1)="T",LEFT(W43,1)="T",LEFT(X43,1)="T",LEFT(Y43,1)="T",LEFT(Z43,1)="T",LEFT(AA43,1)="T")),IF(OR(LEN(J43)=2,LEN(K43)=2,LEN(L43)=2,LEN(M43)=2,LEN(N43)=2,LEN(O43)=2,LEN(P43)=2,LEN(Q43)=2,LEN(R43)=2,LEN(S43)=2,LEN(T43)=2,LEN(U43)=2,LEN(V43)=2,LEN(W43)=2,LEN(X43)=2,LEN(Y43)=2,LEN(Z43)=2,LEN(AA43)=2),"X",""),IF(AND(F43="Hybrid - 720",OR(J43="R3",K43="R3",L43="R3",M43="R3",N43="R3",O43="R3",P43="R3",Q43="R3",R43="R3",S43="R3",T43="R3",U43="R3",V43="R3",W43="R3",X43="R3",Y43="R3",Z43="R3",AA43="R3")),"X",""))</f>
        <v/>
      </c>
      <c r="AW43" s="135">
        <f t="shared" ref="AW43" si="423">COUNTIF(BB43:BS43,"=T1")+COUNTIF(BB43:BS43,"=T2")+COUNTIF(BB43:BS43,"=T3")+COUNTIF(BB43:BS43,"=T4")</f>
        <v>0</v>
      </c>
      <c r="AX43" s="135">
        <f t="shared" ref="AX43" si="424">COUNTIF(BB43:BS43,"=r1")+COUNTIF(BB43:BS43,"=r2")+COUNTIF(BB43:BS43,"=r3")+COUNTIF(BB43:BS43,"=r4")</f>
        <v>0</v>
      </c>
      <c r="AY43" s="135">
        <f t="shared" ref="AY43" si="425">COUNTIF(BB43:BS43,"=A")</f>
        <v>0</v>
      </c>
      <c r="AZ43" s="135">
        <f t="shared" ref="AZ43" si="426">COUNTIF(BB43:BS43,"=F")</f>
        <v>0</v>
      </c>
      <c r="BA43" s="135">
        <f t="shared" ref="BA43" si="427">COUNTIF(BB43:BS43,"=C")</f>
        <v>0</v>
      </c>
      <c r="BB43" s="132" t="str">
        <f t="shared" ref="BB43" si="428">IF($E44="H",IF(OR(LEFT(J43,1)="T",LEFT(J43,1)="R"),LEFT(J43,2),LEFT(J43,1)),"")</f>
        <v/>
      </c>
      <c r="BC43" s="132" t="str">
        <f t="shared" ref="BC43" si="429">IF($E44="H",IF(OR(LEFT(K43,1)="T",LEFT(K43,1)="R"),LEFT(K43,2),LEFT(K43,1)),"")</f>
        <v/>
      </c>
      <c r="BD43" s="132" t="str">
        <f t="shared" ref="BD43" si="430">IF($E44="H",IF(OR(LEFT(L43,1)="T",LEFT(L43,1)="R"),LEFT(L43,2),LEFT(L43,1)),"")</f>
        <v/>
      </c>
      <c r="BE43" s="132" t="str">
        <f t="shared" ref="BE43" si="431">IF($E44="H",IF(OR(LEFT(M43,1)="T",LEFT(M43,1)="R"),LEFT(M43,2),LEFT(M43,1)),"")</f>
        <v/>
      </c>
      <c r="BF43" s="132" t="str">
        <f t="shared" ref="BF43" si="432">IF($E44="H",IF(OR(LEFT(N43,1)="T",LEFT(N43,1)="R"),LEFT(N43,2),LEFT(N43,1)),"")</f>
        <v/>
      </c>
      <c r="BG43" s="132" t="str">
        <f t="shared" ref="BG43" si="433">IF($E44="H",IF(OR(LEFT(O43,1)="T",LEFT(O43,1)="R"),LEFT(O43,2),LEFT(O43,1)),"")</f>
        <v/>
      </c>
      <c r="BH43" s="132" t="str">
        <f t="shared" ref="BH43" si="434">IF($E44="H",IF(OR(LEFT(P43,1)="T",LEFT(P43,1)="R"),LEFT(P43,2),LEFT(P43,1)),"")</f>
        <v/>
      </c>
      <c r="BI43" s="132" t="str">
        <f t="shared" ref="BI43" si="435">IF($E44="H",IF(OR(LEFT(Q43,1)="T",LEFT(Q43,1)="R"),LEFT(Q43,2),LEFT(Q43,1)),"")</f>
        <v/>
      </c>
      <c r="BJ43" s="132" t="str">
        <f t="shared" ref="BJ43" si="436">IF($E44="H",IF(OR(LEFT(R43,1)="T",LEFT(R43,1)="R"),LEFT(R43,2),LEFT(R43,1)),"")</f>
        <v/>
      </c>
      <c r="BK43" s="132" t="str">
        <f t="shared" ref="BK43" si="437">IF($E44="H",IF(OR(LEFT(S43,1)="T",LEFT(S43,1)="R"),LEFT(S43,2),LEFT(S43,1)),"")</f>
        <v/>
      </c>
      <c r="BL43" s="132" t="str">
        <f t="shared" ref="BL43" si="438">IF($E44="H",IF(OR(LEFT(T43,1)="T",LEFT(T43,1)="R"),LEFT(T43,2),LEFT(T43,1)),"")</f>
        <v/>
      </c>
      <c r="BM43" s="132" t="str">
        <f t="shared" ref="BM43" si="439">IF($E44="H",IF(OR(LEFT(U43,1)="T",LEFT(U43,1)="R"),LEFT(U43,2),LEFT(U43,1)),"")</f>
        <v/>
      </c>
      <c r="BN43" s="132" t="str">
        <f t="shared" ref="BN43" si="440">IF($E44="H",IF(OR(LEFT(V43,1)="T",LEFT(V43,1)="R"),LEFT(V43,2),LEFT(V43,1)),"")</f>
        <v/>
      </c>
      <c r="BO43" s="132" t="str">
        <f t="shared" ref="BO43" si="441">IF($E44="H",IF(OR(LEFT(W43,1)="T",LEFT(W43,1)="R"),LEFT(W43,2),LEFT(W43,1)),"")</f>
        <v/>
      </c>
      <c r="BP43" s="132" t="str">
        <f t="shared" ref="BP43" si="442">IF($E44="H",IF(OR(LEFT(X43,1)="T",LEFT(X43,1)="R"),LEFT(X43,2),LEFT(X43,1)),"")</f>
        <v/>
      </c>
      <c r="BQ43" s="132" t="str">
        <f t="shared" ref="BQ43" si="443">IF($E44="H",IF(OR(LEFT(Y43,1)="T",LEFT(Y43,1)="R"),LEFT(Y43,2),LEFT(Y43,1)),"")</f>
        <v/>
      </c>
      <c r="BR43" s="132" t="str">
        <f t="shared" ref="BR43" si="444">IF($E44="H",IF(OR(LEFT(Z43,1)="T",LEFT(Z43,1)="R"),LEFT(Z43,2),LEFT(Z43,1)),"")</f>
        <v/>
      </c>
      <c r="BS43" s="132" t="str">
        <f t="shared" ref="BS43" si="445">IF($E44="H",IF(OR(LEFT(AA43,1)="T",LEFT(AA43,1)="R"),LEFT(AA43,2),LEFT(AA43,1)),"")</f>
        <v/>
      </c>
      <c r="BU43" s="144" t="str">
        <f t="shared" ref="BU43" si="446">IF(OR(LEFT(AB43,2)="PL",LEFT(AC43,2)="PL",LEFT(AD43,2)="PL",LEFT(AE43,2)="PL",LEFT(AF43,2)="PL"),IF($AS$17-AR43&gt;$BU$17,"X",""),"")</f>
        <v/>
      </c>
      <c r="BV43" s="144"/>
      <c r="BW43" s="135">
        <f t="shared" ref="BW43" si="447">IF(COUNTIF(BY43:CC43,BY43)&gt;1,1,IF(COUNTIF(BY43:CC43,BZ43)&gt;1,2,IF(COUNTIF(BY43:CC43,CA43)&gt;1,3,IF(COUNTIF(BY43:CC43,CB43)&gt;1,4,IF(COUNTIF(BY43:CC43,CC43)&gt;1,5,"")))))</f>
        <v>1</v>
      </c>
      <c r="BX43" s="135">
        <f t="shared" ref="BX43" si="448">IF(COUNTIF(BY43:CC43,CC43)&gt;1,5,IF(COUNTIF(BY43:CC43,CB43)&gt;1,4,IF(COUNTIF(BY43:CC43,CA43)&gt;1,3,IF(COUNTIF(BY43:CC43,BZ43)&gt;1,2,IF(COUNTIF(BY43:CC43,BY43)&gt;1,1,"")))))</f>
        <v>5</v>
      </c>
      <c r="BY43" s="132" t="str">
        <f t="shared" ref="BY43" si="449">IFERROR(IF($E44="H",IF(AB43="",BY$18,IF(ISNUMBER(_xlfn.NUMBERVALUE(LEFT(AB43,1))),MID(AB43,2,2),LEFT(AB43,2))),""),"")</f>
        <v/>
      </c>
      <c r="BZ43" s="132" t="str">
        <f t="shared" ref="BZ43" si="450">IFERROR(IF($E44="H",IF(AC43="",BZ$18,IF(ISNUMBER(_xlfn.NUMBERVALUE(LEFT(AC43,1))),MID(AC43,2,2),LEFT(AC43,2))),""),"")</f>
        <v/>
      </c>
      <c r="CA43" s="132" t="str">
        <f t="shared" ref="CA43" si="451">IFERROR(IF($E44="H",IF(AD43="",CA$18,IF(ISNUMBER(_xlfn.NUMBERVALUE(LEFT(AD43,1))),MID(AD43,2,2),LEFT(AD43,2))),""),"")</f>
        <v/>
      </c>
      <c r="CB43" s="132" t="str">
        <f t="shared" ref="CB43" si="452">IFERROR(IF($E44="H",IF(AE43="",CB$18,IF(ISNUMBER(_xlfn.NUMBERVALUE(LEFT(AE43,1))),MID(AE43,2,2),LEFT(AE43,2))),""),"")</f>
        <v/>
      </c>
      <c r="CC43" s="132" t="str">
        <f t="shared" ref="CC43" si="453">IFERROR(IF($E44="H",IF(AF43="",CC$18,IF(ISNUMBER(_xlfn.NUMBERVALUE(LEFT(AF43,1))),MID(AF43,2,2),LEFT(AF43,2))),""),"")</f>
        <v/>
      </c>
      <c r="CE43" s="135" t="str">
        <f t="shared" ref="CE43" si="454">IF(E44=3,_xlfn.NUMBERVALUE(LEFT(J43,1)),"")</f>
        <v/>
      </c>
    </row>
    <row r="44" spans="1:83" x14ac:dyDescent="0.25">
      <c r="A44" s="42"/>
      <c r="B44" s="43"/>
      <c r="C44" s="43"/>
      <c r="D44" s="43"/>
      <c r="E44" s="21" t="str">
        <f t="shared" ref="E44" si="455">IF(F43="Acrobatic","PA",IF(F43="Acrobatic Airborn","A",IF(F43="Acrobatic Balance","B",IF(F43="Acrobatic Combined","C",IF(F43="Acrobatic Platform","P",IF(F43="Technical Required Element",3,IF(LEFT(F43,4)="Hybr","H","")))))))</f>
        <v/>
      </c>
      <c r="F44" s="21" t="str">
        <f>IF(OR(F43="Acrobatic Airborn",F43="Acrobatic Balance",F43="Acrobatic Combined",F43="Acrobatic Platform"),"Acrobatic",IF(AND(F43="Hybrid - Thrust",AU43="X"),"Hybrid - Thrust - X",IF(AND(F43="Hybrid - 720",AU43="X"),"Hybrid - 720 - X","")))</f>
        <v/>
      </c>
      <c r="G44" s="45"/>
      <c r="H44" s="68" t="str">
        <f t="shared" si="2"/>
        <v/>
      </c>
      <c r="I44" s="69"/>
      <c r="J44" s="16">
        <f>IFERROR(IF($E44="",0,IF(AND($E44="H",$F$8&lt;&gt;"Acrobatic"),VLOOKUP(J43,HybridDDX,2,FALSE),IF($E44="PA",VLOOKUP(J43,AcroPairDDX,2,FALSE),IF(OR($E44="A",$E44="B",$E44="C",$E44="P"),0,IF($E44=3,VLOOKUP(J43,TreDDX,2,FALSE),0))))),0)</f>
        <v>0</v>
      </c>
      <c r="K44" s="16">
        <f>IFERROR(IF($E44="",0,IF(AND($E44="H",$F$8&lt;&gt;"Acrobatic"),VLOOKUP(K43,HybridDDX,2,FALSE),IF($E44="PA",0,IF($E44="A",SUMPRODUCT(--EXACT(K43,AcroADD2),AcroADD2X),IF($E44="B",SUMPRODUCT(--EXACT(K43,AcroBDD2),AcroBDD2X),IF($E44="C",SUMPRODUCT(--EXACT(K43,AcroCDD2),AcroCDD2X),IF($E44="P",SUMPRODUCT(--EXACT(K43,AcroPDD2),AcroPDD2X),IF($E44=3,0,0)))))))),0)</f>
        <v>0</v>
      </c>
      <c r="L44" s="16">
        <f t="array" ref="L44">IFERROR(IF($E44="",0,IF(AND($E44="H",$F$8&lt;&gt;"Acrobatic"),VLOOKUP(L43,HybridDDX,2,FALSE),IF($E44="PA",0,IF($E44="A",SUMPRODUCT(--EXACT(L43,AcroADD3),AcroADD3X),IF($E44="B",SUMPRODUCT(--EXACT(CONCATENATE(LEN(L43),L43),AcroBDD3W),AcroBDD3X),IF($E44="C",SUMPRODUCT(--EXACT(L43,AcroCDD3),AcroCDD3X),IF($E44="P",SUMPRODUCT(--EXACT(L43,AcroPDD3),AcroPDD3X),IF($E44=3,0,0)))))))),0)</f>
        <v>0</v>
      </c>
      <c r="M44" s="16">
        <f>IFERROR(IF($E44="",0,IF(AND($E44="H",$F$8&lt;&gt;"Acrobatic"),VLOOKUP(M43,HybridDDX,2,FALSE),IF($E44="PA",0,IF($E44="A",SUMPRODUCT(--EXACT(M43,AcroADD4p1),AcroADD4p1X),IF($E44="B",SUMPRODUCT(--EXACT(M43,AcroBDD4p1),AcroBDD4p1X),IF($E44="C",SUMPRODUCT(--EXACT(M43,AcroCDD4p1),AcroCDD4p1X),IF($E44="P",SUMPRODUCT(--EXACT(M43,AcroPDD4p1),AcroPDD4p1X),IF($E44=3,0,0)))))))),0)</f>
        <v>0</v>
      </c>
      <c r="N44" s="16">
        <f>IFERROR(IF($E44="",0,IF(AND($E44="H",$F$8&lt;&gt;"Acrobatic"),VLOOKUP(N43,HybridDDX,2,FALSE),IF($E44="PA",0,IF($E44="A",SUMPRODUCT(--EXACT(N43,AcroADD4p2),AcroADD4p2X),IF($E44="B",SUMPRODUCT(--EXACT(N43,AcroBDD4p2),AcroBDD4p2X),IF($E44="C",SUMPRODUCT(--EXACT(N43,AcroCDD4p2),AcroCDD4p2X),IF($E44="P",SUMPRODUCT(--EXACT(N43,AcroPDD4p2),AcroPDD4p2X),IF($E44=3,0,0)))))))),0)</f>
        <v>0</v>
      </c>
      <c r="O44" s="16">
        <f>IFERROR(IF($E44="",0,IF(AND($E44="H",$F$8&lt;&gt;"Acrobatic"),VLOOKUP(O43,HybridDDX,2,FALSE),IF($E44="PA",0,IF($E44="A",SUMPRODUCT(--EXACT(O43,AcroADD5),AcroADD5X),IF($E44="B",SUMPRODUCT(--EXACT(O43,AcroBDD5),AcroBDD5X),IF($E44="C",SUMPRODUCT(--EXACT(O43,AcroCDD5),AcroCDD5X),IF($E44="P",SUMPRODUCT(--EXACT(O43,AcroPDD5),AcroPDD5X),IF($E44=3,0,0)))))))),0)</f>
        <v>0</v>
      </c>
      <c r="P44" s="16">
        <f>IFERROR(IF($E44="",0,IF(AND($E44="H",$F$8&lt;&gt;"Acrobatic"),VLOOKUP(P43,HybridDDX,2,FALSE),IF($E44="C",SUMPRODUCT(--EXACT(P43,AcroCDD6),AcroCDD6X),0))),0)</f>
        <v>0</v>
      </c>
      <c r="Q44" s="16">
        <f t="shared" ref="Q44:AA44" si="456">IFERROR(IF($E44="",0,IF(AND($E44="H",$F$8&lt;&gt;"Acrobatic"),VLOOKUP(Q43,HybridDDX,2,FALSE),0)),0)</f>
        <v>0</v>
      </c>
      <c r="R44" s="16">
        <f t="shared" si="456"/>
        <v>0</v>
      </c>
      <c r="S44" s="16">
        <f t="shared" si="456"/>
        <v>0</v>
      </c>
      <c r="T44" s="16">
        <f t="shared" si="456"/>
        <v>0</v>
      </c>
      <c r="U44" s="16">
        <f t="shared" si="456"/>
        <v>0</v>
      </c>
      <c r="V44" s="16">
        <f t="shared" si="456"/>
        <v>0</v>
      </c>
      <c r="W44" s="16">
        <f t="shared" si="456"/>
        <v>0</v>
      </c>
      <c r="X44" s="16">
        <f t="shared" si="456"/>
        <v>0</v>
      </c>
      <c r="Y44" s="16">
        <f t="shared" si="456"/>
        <v>0</v>
      </c>
      <c r="Z44" s="16">
        <f t="shared" si="456"/>
        <v>0</v>
      </c>
      <c r="AA44" s="16">
        <f t="shared" si="456"/>
        <v>0</v>
      </c>
      <c r="AB44" s="28">
        <f>IFERROR(IF($E44="",0,IF(AND($E44="H",$F$8&lt;&gt;"Acrobatic"),VLOOKUP(AB43,BonusDDX,2,FALSE),IF($E44="A",VLOOKUP(AB43,AcroABonusX,2,FALSE),IF($E44="B",VLOOKUP(AB43,AcroBBonusX,2,FALSE),IF($E44="C",VLOOKUP(AB43,AcroCBonusX,2,FALSE),IF($E44="P",VLOOKUP(AB43,AcroPBonusX,2,FALSE),0)))))),0)</f>
        <v>0</v>
      </c>
      <c r="AC44" s="16">
        <f>IFERROR(IF($E44="",0,IF(AND($E44="H",$F$8&lt;&gt;"Acrobatic"),VLOOKUP(AC43,BonusDDX,2,FALSE),IF($E44="A",VLOOKUP(AC43,AcroABonusX,2,FALSE),IF($E44="B",VLOOKUP(AC43,AcroBBonusX,2,FALSE),IF($E44="C",VLOOKUP(AC43,AcroCBonusX,2,FALSE),IF($E44="P",VLOOKUP(AC43,AcroPBonusX,2,FALSE),0)))))),0)</f>
        <v>0</v>
      </c>
      <c r="AD44" s="16">
        <f>IFERROR(IF($E44="",0,IF(AND($E44="H",$F$8&lt;&gt;"Acrobatic"),VLOOKUP(AD43,BonusDDX,2,FALSE),0)),0)</f>
        <v>0</v>
      </c>
      <c r="AE44" s="16">
        <f>IFERROR(IF($E44="",0,IF(AND($E44="H",$F$8&lt;&gt;"Acrobatic"),VLOOKUP(AE43,BonusDDX,2,FALSE),0)),0)</f>
        <v>0</v>
      </c>
      <c r="AF44" s="46">
        <f>IFERROR(IF($E44="",0,IF(AND($E44="H",$F$8&lt;&gt;"Acrobatic"),VLOOKUP(AF43,BonusDDX,2,FALSE),0)),0)</f>
        <v>0</v>
      </c>
      <c r="AG44" s="71">
        <f t="shared" ref="AG44" si="457">SUM(H44:AF44)</f>
        <v>0</v>
      </c>
      <c r="AH44" s="98"/>
      <c r="AI44" s="98"/>
      <c r="AJ44" s="145"/>
      <c r="AK44" s="145"/>
      <c r="AL44" s="145"/>
      <c r="AM44" s="145"/>
      <c r="AN44" s="145"/>
      <c r="AO44" s="145"/>
      <c r="AP44" s="145"/>
      <c r="AQ44" s="145"/>
      <c r="AR44" s="146" t="str">
        <f>IFERROR(IF($N$7="X",IF(AND(E44="C",AG44&gt;2.45),"X",IF(AND(E44="A",AG44&gt;2.65),"X",IF(AND(E44="B",AG44&gt;2.6),"X",IF(AND(E44="P",AG44&gt;2.5),"X","")))),""),"")</f>
        <v/>
      </c>
      <c r="AS44" s="138"/>
      <c r="AU44" s="132"/>
    </row>
    <row r="45" spans="1:83" x14ac:dyDescent="0.25">
      <c r="A45" s="42" t="str">
        <f t="shared" ref="A45" si="458">IF(AND(E43="",A43&lt;&gt;""),IF(AS43=$AS$18,"",IF(C43&lt;&gt;"",IF(D43=59,MINUTE(AS43)+1,MINUTE(AS43)),"")),"")</f>
        <v/>
      </c>
      <c r="B45" s="43" t="str">
        <f t="shared" ref="B45" si="459">IF(AND(E43="",B43&lt;&gt;""),IF(AS43=$AS$18,"",IF(C43&lt;&gt;"",IF(D43=59,0,SECOND(AS43)+1),"")),"")</f>
        <v/>
      </c>
      <c r="C45" s="54"/>
      <c r="D45" s="54"/>
      <c r="E45" s="9"/>
      <c r="F45" s="55"/>
      <c r="G45" s="45" t="str">
        <f>IF(F45&lt;&gt;"",IF(OR(F45="Transition",F45="Connected Surface Movment",F45="Cadense"),0,MAX($G$19:G44)+1),"")</f>
        <v/>
      </c>
      <c r="H45" s="68" t="str">
        <f t="shared" ref="H45" si="460">IF(E46=3,"",IF(E46="H","BM",IF(E46="PA",IF(OR(LEFT(J45,1)="L",LEFT(J45,1)="S"),"A-Pair-Lift",IF(OR(LEFT(J45,1)="W",LEFT(J45,1)="T"),"A-Pair-Throw",IF(LEFT(J45,1)="J","A-Pair-Jump","A-Pair"))),IF(OR(E46="A",E46="B",E46="C",E46="P"),CONCATENATE("Acro-",J45),""))))</f>
        <v/>
      </c>
      <c r="I45" s="69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6"/>
      <c r="AC45" s="161"/>
      <c r="AD45" s="161"/>
      <c r="AE45" s="161"/>
      <c r="AF45" s="167"/>
      <c r="AG45" s="47"/>
      <c r="AH45" s="97"/>
      <c r="AI45" s="97"/>
      <c r="AJ45" s="134"/>
      <c r="AK45" s="134"/>
      <c r="AL45" s="134"/>
      <c r="AM45" s="134"/>
      <c r="AN45" s="134"/>
      <c r="AO45" s="134"/>
      <c r="AP45" s="134"/>
      <c r="AQ45" s="134"/>
      <c r="AR45" s="137" t="str">
        <f>IFERROR(TIME(0,A45,B45),"")</f>
        <v/>
      </c>
      <c r="AS45" s="138">
        <f>IFERROR(TIME(0,C45,D45),"")</f>
        <v>0</v>
      </c>
      <c r="AU45" s="132" t="str">
        <f>IF(AND(F45="Hybrid - Thrust",OR(LEFT(J45,1)="T",LEFT(K45,1)="T",LEFT(L45,1)="T",LEFT(JX45,1)="T",LEFT(M45,1)="T",LEFT(N45,1)="T",LEFT(O45,1)="T",LEFT(P45,1)="T",LEFT(Q45,1)="T",LEFT(R45,1)="T",LEFT(S45,1)="T",LEFT(T45,1)="T",LEFT(U45,1)="T",LEFT(V45,1)="T",LEFT(W45,1)="T",LEFT(X45,1)="T",LEFT(Y45,1)="T",LEFT(Z45,1)="T",LEFT(AA45,1)="T")),IF(OR(LEN(J45)=2,LEN(K45)=2,LEN(L45)=2,LEN(M45)=2,LEN(N45)=2,LEN(O45)=2,LEN(P45)=2,LEN(Q45)=2,LEN(R45)=2,LEN(S45)=2,LEN(T45)=2,LEN(U45)=2,LEN(V45)=2,LEN(W45)=2,LEN(X45)=2,LEN(Y45)=2,LEN(Z45)=2,LEN(AA45)=2),"X",""),IF(AND(F45="Hybrid - 720",OR(J45="R3",K45="R3",L45="R3",M45="R3",N45="R3",O45="R3",P45="R3",Q45="R3",R45="R3",S45="R3",T45="R3",U45="R3",V45="R3",W45="R3",X45="R3",Y45="R3",Z45="R3",AA45="R3")),"X",""))</f>
        <v/>
      </c>
      <c r="AW45" s="135">
        <f t="shared" ref="AW45" si="461">COUNTIF(BB45:BS45,"=T1")+COUNTIF(BB45:BS45,"=T2")+COUNTIF(BB45:BS45,"=T3")+COUNTIF(BB45:BS45,"=T4")</f>
        <v>0</v>
      </c>
      <c r="AX45" s="135">
        <f t="shared" ref="AX45" si="462">COUNTIF(BB45:BS45,"=r1")+COUNTIF(BB45:BS45,"=r2")+COUNTIF(BB45:BS45,"=r3")+COUNTIF(BB45:BS45,"=r4")</f>
        <v>0</v>
      </c>
      <c r="AY45" s="135">
        <f t="shared" ref="AY45" si="463">COUNTIF(BB45:BS45,"=A")</f>
        <v>0</v>
      </c>
      <c r="AZ45" s="135">
        <f t="shared" ref="AZ45" si="464">COUNTIF(BB45:BS45,"=F")</f>
        <v>0</v>
      </c>
      <c r="BA45" s="135">
        <f t="shared" ref="BA45" si="465">COUNTIF(BB45:BS45,"=C")</f>
        <v>0</v>
      </c>
      <c r="BB45" s="132" t="str">
        <f t="shared" ref="BB45" si="466">IF($E46="H",IF(OR(LEFT(J45,1)="T",LEFT(J45,1)="R"),LEFT(J45,2),LEFT(J45,1)),"")</f>
        <v/>
      </c>
      <c r="BC45" s="132" t="str">
        <f t="shared" ref="BC45" si="467">IF($E46="H",IF(OR(LEFT(K45,1)="T",LEFT(K45,1)="R"),LEFT(K45,2),LEFT(K45,1)),"")</f>
        <v/>
      </c>
      <c r="BD45" s="132" t="str">
        <f t="shared" ref="BD45" si="468">IF($E46="H",IF(OR(LEFT(L45,1)="T",LEFT(L45,1)="R"),LEFT(L45,2),LEFT(L45,1)),"")</f>
        <v/>
      </c>
      <c r="BE45" s="132" t="str">
        <f t="shared" ref="BE45" si="469">IF($E46="H",IF(OR(LEFT(M45,1)="T",LEFT(M45,1)="R"),LEFT(M45,2),LEFT(M45,1)),"")</f>
        <v/>
      </c>
      <c r="BF45" s="132" t="str">
        <f t="shared" ref="BF45" si="470">IF($E46="H",IF(OR(LEFT(N45,1)="T",LEFT(N45,1)="R"),LEFT(N45,2),LEFT(N45,1)),"")</f>
        <v/>
      </c>
      <c r="BG45" s="132" t="str">
        <f t="shared" ref="BG45" si="471">IF($E46="H",IF(OR(LEFT(O45,1)="T",LEFT(O45,1)="R"),LEFT(O45,2),LEFT(O45,1)),"")</f>
        <v/>
      </c>
      <c r="BH45" s="132" t="str">
        <f t="shared" ref="BH45" si="472">IF($E46="H",IF(OR(LEFT(P45,1)="T",LEFT(P45,1)="R"),LEFT(P45,2),LEFT(P45,1)),"")</f>
        <v/>
      </c>
      <c r="BI45" s="132" t="str">
        <f t="shared" ref="BI45" si="473">IF($E46="H",IF(OR(LEFT(Q45,1)="T",LEFT(Q45,1)="R"),LEFT(Q45,2),LEFT(Q45,1)),"")</f>
        <v/>
      </c>
      <c r="BJ45" s="132" t="str">
        <f t="shared" ref="BJ45" si="474">IF($E46="H",IF(OR(LEFT(R45,1)="T",LEFT(R45,1)="R"),LEFT(R45,2),LEFT(R45,1)),"")</f>
        <v/>
      </c>
      <c r="BK45" s="132" t="str">
        <f t="shared" ref="BK45" si="475">IF($E46="H",IF(OR(LEFT(S45,1)="T",LEFT(S45,1)="R"),LEFT(S45,2),LEFT(S45,1)),"")</f>
        <v/>
      </c>
      <c r="BL45" s="132" t="str">
        <f t="shared" ref="BL45" si="476">IF($E46="H",IF(OR(LEFT(T45,1)="T",LEFT(T45,1)="R"),LEFT(T45,2),LEFT(T45,1)),"")</f>
        <v/>
      </c>
      <c r="BM45" s="132" t="str">
        <f t="shared" ref="BM45" si="477">IF($E46="H",IF(OR(LEFT(U45,1)="T",LEFT(U45,1)="R"),LEFT(U45,2),LEFT(U45,1)),"")</f>
        <v/>
      </c>
      <c r="BN45" s="132" t="str">
        <f t="shared" ref="BN45" si="478">IF($E46="H",IF(OR(LEFT(V45,1)="T",LEFT(V45,1)="R"),LEFT(V45,2),LEFT(V45,1)),"")</f>
        <v/>
      </c>
      <c r="BO45" s="132" t="str">
        <f t="shared" ref="BO45" si="479">IF($E46="H",IF(OR(LEFT(W45,1)="T",LEFT(W45,1)="R"),LEFT(W45,2),LEFT(W45,1)),"")</f>
        <v/>
      </c>
      <c r="BP45" s="132" t="str">
        <f t="shared" ref="BP45" si="480">IF($E46="H",IF(OR(LEFT(X45,1)="T",LEFT(X45,1)="R"),LEFT(X45,2),LEFT(X45,1)),"")</f>
        <v/>
      </c>
      <c r="BQ45" s="132" t="str">
        <f t="shared" ref="BQ45" si="481">IF($E46="H",IF(OR(LEFT(Y45,1)="T",LEFT(Y45,1)="R"),LEFT(Y45,2),LEFT(Y45,1)),"")</f>
        <v/>
      </c>
      <c r="BR45" s="132" t="str">
        <f t="shared" ref="BR45" si="482">IF($E46="H",IF(OR(LEFT(Z45,1)="T",LEFT(Z45,1)="R"),LEFT(Z45,2),LEFT(Z45,1)),"")</f>
        <v/>
      </c>
      <c r="BS45" s="132" t="str">
        <f t="shared" ref="BS45" si="483">IF($E46="H",IF(OR(LEFT(AA45,1)="T",LEFT(AA45,1)="R"),LEFT(AA45,2),LEFT(AA45,1)),"")</f>
        <v/>
      </c>
      <c r="BU45" s="144" t="str">
        <f t="shared" ref="BU45" si="484">IF(OR(LEFT(AB45,2)="PL",LEFT(AC45,2)="PL",LEFT(AD45,2)="PL",LEFT(AE45,2)="PL",LEFT(AF45,2)="PL"),IF($AS$17-AR45&gt;$BU$17,"X",""),"")</f>
        <v/>
      </c>
      <c r="BV45" s="144"/>
      <c r="BW45" s="135">
        <f t="shared" ref="BW45" si="485">IF(COUNTIF(BY45:CC45,BY45)&gt;1,1,IF(COUNTIF(BY45:CC45,BZ45)&gt;1,2,IF(COUNTIF(BY45:CC45,CA45)&gt;1,3,IF(COUNTIF(BY45:CC45,CB45)&gt;1,4,IF(COUNTIF(BY45:CC45,CC45)&gt;1,5,"")))))</f>
        <v>1</v>
      </c>
      <c r="BX45" s="135">
        <f t="shared" ref="BX45" si="486">IF(COUNTIF(BY45:CC45,CC45)&gt;1,5,IF(COUNTIF(BY45:CC45,CB45)&gt;1,4,IF(COUNTIF(BY45:CC45,CA45)&gt;1,3,IF(COUNTIF(BY45:CC45,BZ45)&gt;1,2,IF(COUNTIF(BY45:CC45,BY45)&gt;1,1,"")))))</f>
        <v>5</v>
      </c>
      <c r="BY45" s="132" t="str">
        <f t="shared" ref="BY45" si="487">IFERROR(IF($E46="H",IF(AB45="",BY$18,IF(ISNUMBER(_xlfn.NUMBERVALUE(LEFT(AB45,1))),MID(AB45,2,2),LEFT(AB45,2))),""),"")</f>
        <v/>
      </c>
      <c r="BZ45" s="132" t="str">
        <f t="shared" ref="BZ45" si="488">IFERROR(IF($E46="H",IF(AC45="",BZ$18,IF(ISNUMBER(_xlfn.NUMBERVALUE(LEFT(AC45,1))),MID(AC45,2,2),LEFT(AC45,2))),""),"")</f>
        <v/>
      </c>
      <c r="CA45" s="132" t="str">
        <f t="shared" ref="CA45" si="489">IFERROR(IF($E46="H",IF(AD45="",CA$18,IF(ISNUMBER(_xlfn.NUMBERVALUE(LEFT(AD45,1))),MID(AD45,2,2),LEFT(AD45,2))),""),"")</f>
        <v/>
      </c>
      <c r="CB45" s="132" t="str">
        <f t="shared" ref="CB45" si="490">IFERROR(IF($E46="H",IF(AE45="",CB$18,IF(ISNUMBER(_xlfn.NUMBERVALUE(LEFT(AE45,1))),MID(AE45,2,2),LEFT(AE45,2))),""),"")</f>
        <v/>
      </c>
      <c r="CC45" s="132" t="str">
        <f t="shared" ref="CC45" si="491">IFERROR(IF($E46="H",IF(AF45="",CC$18,IF(ISNUMBER(_xlfn.NUMBERVALUE(LEFT(AF45,1))),MID(AF45,2,2),LEFT(AF45,2))),""),"")</f>
        <v/>
      </c>
      <c r="CE45" s="135" t="str">
        <f t="shared" ref="CE45" si="492">IF(E46=3,_xlfn.NUMBERVALUE(LEFT(J45,1)),"")</f>
        <v/>
      </c>
    </row>
    <row r="46" spans="1:83" x14ac:dyDescent="0.25">
      <c r="A46" s="42"/>
      <c r="B46" s="43"/>
      <c r="C46" s="43"/>
      <c r="D46" s="43"/>
      <c r="E46" s="21" t="str">
        <f t="shared" ref="E46" si="493">IF(F45="Acrobatic","PA",IF(F45="Acrobatic Airborn","A",IF(F45="Acrobatic Balance","B",IF(F45="Acrobatic Combined","C",IF(F45="Acrobatic Platform","P",IF(F45="Technical Required Element",3,IF(LEFT(F45,4)="Hybr","H","")))))))</f>
        <v/>
      </c>
      <c r="F46" s="21" t="str">
        <f>IF(OR(F45="Acrobatic Airborn",F45="Acrobatic Balance",F45="Acrobatic Combined",F45="Acrobatic Platform"),"Acrobatic",IF(AND(F45="Hybrid - Thrust",AU45="X"),"Hybrid - Thrust - X",IF(AND(F45="Hybrid - 720",AU45="X"),"Hybrid - 720 - X","")))</f>
        <v/>
      </c>
      <c r="G46" s="45"/>
      <c r="H46" s="68" t="str">
        <f t="shared" si="2"/>
        <v/>
      </c>
      <c r="I46" s="69"/>
      <c r="J46" s="16">
        <f>IFERROR(IF($E46="",0,IF(AND($E46="H",$F$8&lt;&gt;"Acrobatic"),VLOOKUP(J45,HybridDDX,2,FALSE),IF($E46="PA",VLOOKUP(J45,AcroPairDDX,2,FALSE),IF(OR($E46="A",$E46="B",$E46="C",$E46="P"),0,IF($E46=3,VLOOKUP(J45,TreDDX,2,FALSE),0))))),0)</f>
        <v>0</v>
      </c>
      <c r="K46" s="16">
        <f>IFERROR(IF($E46="",0,IF(AND($E46="H",$F$8&lt;&gt;"Acrobatic"),VLOOKUP(K45,HybridDDX,2,FALSE),IF($E46="PA",0,IF($E46="A",SUMPRODUCT(--EXACT(K45,AcroADD2),AcroADD2X),IF($E46="B",SUMPRODUCT(--EXACT(K45,AcroBDD2),AcroBDD2X),IF($E46="C",SUMPRODUCT(--EXACT(K45,AcroCDD2),AcroCDD2X),IF($E46="P",SUMPRODUCT(--EXACT(K45,AcroPDD2),AcroPDD2X),IF($E46=3,0,0)))))))),0)</f>
        <v>0</v>
      </c>
      <c r="L46" s="16">
        <f t="array" ref="L46">IFERROR(IF($E46="",0,IF(AND($E46="H",$F$8&lt;&gt;"Acrobatic"),VLOOKUP(L45,HybridDDX,2,FALSE),IF($E46="PA",0,IF($E46="A",SUMPRODUCT(--EXACT(L45,AcroADD3),AcroADD3X),IF($E46="B",SUMPRODUCT(--EXACT(CONCATENATE(LEN(L45),L45),AcroBDD3W),AcroBDD3X),IF($E46="C",SUMPRODUCT(--EXACT(L45,AcroCDD3),AcroCDD3X),IF($E46="P",SUMPRODUCT(--EXACT(L45,AcroPDD3),AcroPDD3X),IF($E46=3,0,0)))))))),0)</f>
        <v>0</v>
      </c>
      <c r="M46" s="16">
        <f>IFERROR(IF($E46="",0,IF(AND($E46="H",$F$8&lt;&gt;"Acrobatic"),VLOOKUP(M45,HybridDDX,2,FALSE),IF($E46="PA",0,IF($E46="A",SUMPRODUCT(--EXACT(M45,AcroADD4p1),AcroADD4p1X),IF($E46="B",SUMPRODUCT(--EXACT(M45,AcroBDD4p1),AcroBDD4p1X),IF($E46="C",SUMPRODUCT(--EXACT(M45,AcroCDD4p1),AcroCDD4p1X),IF($E46="P",SUMPRODUCT(--EXACT(M45,AcroPDD4p1),AcroPDD4p1X),IF($E46=3,0,0)))))))),0)</f>
        <v>0</v>
      </c>
      <c r="N46" s="16">
        <f>IFERROR(IF($E46="",0,IF(AND($E46="H",$F$8&lt;&gt;"Acrobatic"),VLOOKUP(N45,HybridDDX,2,FALSE),IF($E46="PA",0,IF($E46="A",SUMPRODUCT(--EXACT(N45,AcroADD4p2),AcroADD4p2X),IF($E46="B",SUMPRODUCT(--EXACT(N45,AcroBDD4p2),AcroBDD4p2X),IF($E46="C",SUMPRODUCT(--EXACT(N45,AcroCDD4p2),AcroCDD4p2X),IF($E46="P",SUMPRODUCT(--EXACT(N45,AcroPDD4p2),AcroPDD4p2X),IF($E46=3,0,0)))))))),0)</f>
        <v>0</v>
      </c>
      <c r="O46" s="16">
        <f>IFERROR(IF($E46="",0,IF(AND($E46="H",$F$8&lt;&gt;"Acrobatic"),VLOOKUP(O45,HybridDDX,2,FALSE),IF($E46="PA",0,IF($E46="A",SUMPRODUCT(--EXACT(O45,AcroADD5),AcroADD5X),IF($E46="B",SUMPRODUCT(--EXACT(O45,AcroBDD5),AcroBDD5X),IF($E46="C",SUMPRODUCT(--EXACT(O45,AcroCDD5),AcroCDD5X),IF($E46="P",SUMPRODUCT(--EXACT(O45,AcroPDD5),AcroPDD5X),IF($E46=3,0,0)))))))),0)</f>
        <v>0</v>
      </c>
      <c r="P46" s="16">
        <f>IFERROR(IF($E46="",0,IF(AND($E46="H",$F$8&lt;&gt;"Acrobatic"),VLOOKUP(P45,HybridDDX,2,FALSE),IF($E46="C",SUMPRODUCT(--EXACT(P45,AcroCDD6),AcroCDD6X),0))),0)</f>
        <v>0</v>
      </c>
      <c r="Q46" s="16">
        <f t="shared" ref="Q46:AA46" si="494">IFERROR(IF($E46="",0,IF(AND($E46="H",$F$8&lt;&gt;"Acrobatic"),VLOOKUP(Q45,HybridDDX,2,FALSE),0)),0)</f>
        <v>0</v>
      </c>
      <c r="R46" s="16">
        <f t="shared" si="494"/>
        <v>0</v>
      </c>
      <c r="S46" s="16">
        <f t="shared" si="494"/>
        <v>0</v>
      </c>
      <c r="T46" s="16">
        <f t="shared" si="494"/>
        <v>0</v>
      </c>
      <c r="U46" s="16">
        <f t="shared" si="494"/>
        <v>0</v>
      </c>
      <c r="V46" s="16">
        <f t="shared" si="494"/>
        <v>0</v>
      </c>
      <c r="W46" s="16">
        <f t="shared" si="494"/>
        <v>0</v>
      </c>
      <c r="X46" s="16">
        <f t="shared" si="494"/>
        <v>0</v>
      </c>
      <c r="Y46" s="16">
        <f t="shared" si="494"/>
        <v>0</v>
      </c>
      <c r="Z46" s="16">
        <f t="shared" si="494"/>
        <v>0</v>
      </c>
      <c r="AA46" s="16">
        <f t="shared" si="494"/>
        <v>0</v>
      </c>
      <c r="AB46" s="28">
        <f>IFERROR(IF($E46="",0,IF(AND($E46="H",$F$8&lt;&gt;"Acrobatic"),VLOOKUP(AB45,BonusDDX,2,FALSE),IF($E46="A",VLOOKUP(AB45,AcroABonusX,2,FALSE),IF($E46="B",VLOOKUP(AB45,AcroBBonusX,2,FALSE),IF($E46="C",VLOOKUP(AB45,AcroCBonusX,2,FALSE),IF($E46="P",VLOOKUP(AB45,AcroPBonusX,2,FALSE),0)))))),0)</f>
        <v>0</v>
      </c>
      <c r="AC46" s="16">
        <f>IFERROR(IF($E46="",0,IF(AND($E46="H",$F$8&lt;&gt;"Acrobatic"),VLOOKUP(AC45,BonusDDX,2,FALSE),IF($E46="A",VLOOKUP(AC45,AcroABonusX,2,FALSE),IF($E46="B",VLOOKUP(AC45,AcroBBonusX,2,FALSE),IF($E46="C",VLOOKUP(AC45,AcroCBonusX,2,FALSE),IF($E46="P",VLOOKUP(AC45,AcroPBonusX,2,FALSE),0)))))),0)</f>
        <v>0</v>
      </c>
      <c r="AD46" s="16">
        <f>IFERROR(IF($E46="",0,IF(AND($E46="H",$F$8&lt;&gt;"Acrobatic"),VLOOKUP(AD45,BonusDDX,2,FALSE),0)),0)</f>
        <v>0</v>
      </c>
      <c r="AE46" s="16">
        <f>IFERROR(IF($E46="",0,IF(AND($E46="H",$F$8&lt;&gt;"Acrobatic"),VLOOKUP(AE45,BonusDDX,2,FALSE),0)),0)</f>
        <v>0</v>
      </c>
      <c r="AF46" s="46">
        <f>IFERROR(IF($E46="",0,IF(AND($E46="H",$F$8&lt;&gt;"Acrobatic"),VLOOKUP(AF45,BonusDDX,2,FALSE),0)),0)</f>
        <v>0</v>
      </c>
      <c r="AG46" s="71">
        <f t="shared" ref="AG46" si="495">SUM(H46:AF46)</f>
        <v>0</v>
      </c>
      <c r="AH46" s="98"/>
      <c r="AI46" s="98"/>
      <c r="AJ46" s="145"/>
      <c r="AK46" s="145"/>
      <c r="AL46" s="145"/>
      <c r="AM46" s="145"/>
      <c r="AN46" s="145"/>
      <c r="AO46" s="145"/>
      <c r="AP46" s="145"/>
      <c r="AQ46" s="145"/>
      <c r="AR46" s="146" t="str">
        <f>IFERROR(IF($N$7="X",IF(AND(E46="C",AG46&gt;2.45),"X",IF(AND(E46="A",AG46&gt;2.65),"X",IF(AND(E46="B",AG46&gt;2.6),"X",IF(AND(E46="P",AG46&gt;2.5),"X","")))),""),"")</f>
        <v/>
      </c>
      <c r="AS46" s="138"/>
      <c r="AU46" s="132"/>
    </row>
    <row r="47" spans="1:83" x14ac:dyDescent="0.25">
      <c r="A47" s="42" t="str">
        <f t="shared" ref="A47" si="496">IF(AND(E45="",A45&lt;&gt;""),IF(AS45=$AS$18,"",IF(C45&lt;&gt;"",IF(D45=59,MINUTE(AS45)+1,MINUTE(AS45)),"")),"")</f>
        <v/>
      </c>
      <c r="B47" s="43" t="str">
        <f t="shared" ref="B47" si="497">IF(AND(E45="",B45&lt;&gt;""),IF(AS45=$AS$18,"",IF(C45&lt;&gt;"",IF(D45=59,0,SECOND(AS45)+1),"")),"")</f>
        <v/>
      </c>
      <c r="C47" s="54"/>
      <c r="D47" s="54"/>
      <c r="E47" s="9"/>
      <c r="F47" s="55"/>
      <c r="G47" s="45" t="str">
        <f>IF(F47&lt;&gt;"",IF(OR(F47="Transition",F47="Connected Surface Movment",F47="Cadense"),0,MAX($G$19:G46)+1),"")</f>
        <v/>
      </c>
      <c r="H47" s="68" t="str">
        <f t="shared" ref="H47" si="498">IF(E48=3,"",IF(E48="H","BM",IF(E48="PA",IF(OR(LEFT(J47,1)="L",LEFT(J47,1)="S"),"A-Pair-Lift",IF(OR(LEFT(J47,1)="W",LEFT(J47,1)="T"),"A-Pair-Throw",IF(LEFT(J47,1)="J","A-Pair-Jump","A-Pair"))),IF(OR(E48="A",E48="B",E48="C",E48="P"),CONCATENATE("Acro-",J47),""))))</f>
        <v/>
      </c>
      <c r="I47" s="69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6"/>
      <c r="AC47" s="161"/>
      <c r="AD47" s="161"/>
      <c r="AE47" s="161"/>
      <c r="AF47" s="167"/>
      <c r="AG47" s="47"/>
      <c r="AH47" s="97"/>
      <c r="AI47" s="97"/>
      <c r="AJ47" s="134"/>
      <c r="AK47" s="134"/>
      <c r="AL47" s="134"/>
      <c r="AM47" s="134"/>
      <c r="AN47" s="134"/>
      <c r="AO47" s="134"/>
      <c r="AP47" s="134"/>
      <c r="AQ47" s="134"/>
      <c r="AR47" s="137" t="str">
        <f>IFERROR(TIME(0,A47,B47),"")</f>
        <v/>
      </c>
      <c r="AS47" s="138">
        <f>IFERROR(TIME(0,C47,D47),"")</f>
        <v>0</v>
      </c>
      <c r="AU47" s="132" t="str">
        <f>IF(AND(F47="Hybrid - Thrust",OR(LEFT(J47,1)="T",LEFT(K47,1)="T",LEFT(L47,1)="T",LEFT(JX47,1)="T",LEFT(M47,1)="T",LEFT(N47,1)="T",LEFT(O47,1)="T",LEFT(P47,1)="T",LEFT(Q47,1)="T",LEFT(R47,1)="T",LEFT(S47,1)="T",LEFT(T47,1)="T",LEFT(U47,1)="T",LEFT(V47,1)="T",LEFT(W47,1)="T",LEFT(X47,1)="T",LEFT(Y47,1)="T",LEFT(Z47,1)="T",LEFT(AA47,1)="T")),IF(OR(LEN(J47)=2,LEN(K47)=2,LEN(L47)=2,LEN(M47)=2,LEN(N47)=2,LEN(O47)=2,LEN(P47)=2,LEN(Q47)=2,LEN(R47)=2,LEN(S47)=2,LEN(T47)=2,LEN(U47)=2,LEN(V47)=2,LEN(W47)=2,LEN(X47)=2,LEN(Y47)=2,LEN(Z47)=2,LEN(AA47)=2),"X",""),IF(AND(F47="Hybrid - 720",OR(J47="R3",K47="R3",L47="R3",M47="R3",N47="R3",O47="R3",P47="R3",Q47="R3",R47="R3",S47="R3",T47="R3",U47="R3",V47="R3",W47="R3",X47="R3",Y47="R3",Z47="R3",AA47="R3")),"X",""))</f>
        <v/>
      </c>
      <c r="AV47" s="135" t="str">
        <f>IF(F47="Hybrid",SECOND(AS47),"")</f>
        <v/>
      </c>
      <c r="AW47" s="135">
        <f t="shared" ref="AW47" si="499">COUNTIF(BB47:BS47,"=T1")+COUNTIF(BB47:BS47,"=T2")+COUNTIF(BB47:BS47,"=T3")+COUNTIF(BB47:BS47,"=T4")</f>
        <v>0</v>
      </c>
      <c r="AX47" s="135">
        <f t="shared" ref="AX47" si="500">COUNTIF(BB47:BS47,"=r1")+COUNTIF(BB47:BS47,"=r2")+COUNTIF(BB47:BS47,"=r3")+COUNTIF(BB47:BS47,"=r4")</f>
        <v>0</v>
      </c>
      <c r="AY47" s="135">
        <f t="shared" ref="AY47" si="501">COUNTIF(BB47:BS47,"=A")</f>
        <v>0</v>
      </c>
      <c r="AZ47" s="135">
        <f t="shared" ref="AZ47" si="502">COUNTIF(BB47:BS47,"=F")</f>
        <v>0</v>
      </c>
      <c r="BA47" s="135">
        <f t="shared" ref="BA47" si="503">COUNTIF(BB47:BS47,"=C")</f>
        <v>0</v>
      </c>
      <c r="BB47" s="132" t="str">
        <f t="shared" ref="BB47" si="504">IF($E48="H",IF(OR(LEFT(J47,1)="T",LEFT(J47,1)="R"),LEFT(J47,2),LEFT(J47,1)),"")</f>
        <v/>
      </c>
      <c r="BC47" s="132" t="str">
        <f t="shared" ref="BC47" si="505">IF($E48="H",IF(OR(LEFT(K47,1)="T",LEFT(K47,1)="R"),LEFT(K47,2),LEFT(K47,1)),"")</f>
        <v/>
      </c>
      <c r="BD47" s="132" t="str">
        <f t="shared" ref="BD47" si="506">IF($E48="H",IF(OR(LEFT(L47,1)="T",LEFT(L47,1)="R"),LEFT(L47,2),LEFT(L47,1)),"")</f>
        <v/>
      </c>
      <c r="BE47" s="132" t="str">
        <f t="shared" ref="BE47" si="507">IF($E48="H",IF(OR(LEFT(M47,1)="T",LEFT(M47,1)="R"),LEFT(M47,2),LEFT(M47,1)),"")</f>
        <v/>
      </c>
      <c r="BF47" s="132" t="str">
        <f t="shared" ref="BF47" si="508">IF($E48="H",IF(OR(LEFT(N47,1)="T",LEFT(N47,1)="R"),LEFT(N47,2),LEFT(N47,1)),"")</f>
        <v/>
      </c>
      <c r="BG47" s="132" t="str">
        <f t="shared" ref="BG47" si="509">IF($E48="H",IF(OR(LEFT(O47,1)="T",LEFT(O47,1)="R"),LEFT(O47,2),LEFT(O47,1)),"")</f>
        <v/>
      </c>
      <c r="BH47" s="132" t="str">
        <f t="shared" ref="BH47" si="510">IF($E48="H",IF(OR(LEFT(P47,1)="T",LEFT(P47,1)="R"),LEFT(P47,2),LEFT(P47,1)),"")</f>
        <v/>
      </c>
      <c r="BI47" s="132" t="str">
        <f t="shared" ref="BI47" si="511">IF($E48="H",IF(OR(LEFT(Q47,1)="T",LEFT(Q47,1)="R"),LEFT(Q47,2),LEFT(Q47,1)),"")</f>
        <v/>
      </c>
      <c r="BJ47" s="132" t="str">
        <f t="shared" ref="BJ47" si="512">IF($E48="H",IF(OR(LEFT(R47,1)="T",LEFT(R47,1)="R"),LEFT(R47,2),LEFT(R47,1)),"")</f>
        <v/>
      </c>
      <c r="BK47" s="132" t="str">
        <f t="shared" ref="BK47" si="513">IF($E48="H",IF(OR(LEFT(S47,1)="T",LEFT(S47,1)="R"),LEFT(S47,2),LEFT(S47,1)),"")</f>
        <v/>
      </c>
      <c r="BL47" s="132" t="str">
        <f t="shared" ref="BL47" si="514">IF($E48="H",IF(OR(LEFT(T47,1)="T",LEFT(T47,1)="R"),LEFT(T47,2),LEFT(T47,1)),"")</f>
        <v/>
      </c>
      <c r="BM47" s="132" t="str">
        <f t="shared" ref="BM47" si="515">IF($E48="H",IF(OR(LEFT(U47,1)="T",LEFT(U47,1)="R"),LEFT(U47,2),LEFT(U47,1)),"")</f>
        <v/>
      </c>
      <c r="BN47" s="132" t="str">
        <f t="shared" ref="BN47" si="516">IF($E48="H",IF(OR(LEFT(V47,1)="T",LEFT(V47,1)="R"),LEFT(V47,2),LEFT(V47,1)),"")</f>
        <v/>
      </c>
      <c r="BO47" s="132" t="str">
        <f t="shared" ref="BO47" si="517">IF($E48="H",IF(OR(LEFT(W47,1)="T",LEFT(W47,1)="R"),LEFT(W47,2),LEFT(W47,1)),"")</f>
        <v/>
      </c>
      <c r="BP47" s="132" t="str">
        <f t="shared" ref="BP47" si="518">IF($E48="H",IF(OR(LEFT(X47,1)="T",LEFT(X47,1)="R"),LEFT(X47,2),LEFT(X47,1)),"")</f>
        <v/>
      </c>
      <c r="BQ47" s="132" t="str">
        <f t="shared" ref="BQ47" si="519">IF($E48="H",IF(OR(LEFT(Y47,1)="T",LEFT(Y47,1)="R"),LEFT(Y47,2),LEFT(Y47,1)),"")</f>
        <v/>
      </c>
      <c r="BR47" s="132" t="str">
        <f t="shared" ref="BR47" si="520">IF($E48="H",IF(OR(LEFT(Z47,1)="T",LEFT(Z47,1)="R"),LEFT(Z47,2),LEFT(Z47,1)),"")</f>
        <v/>
      </c>
      <c r="BS47" s="132" t="str">
        <f t="shared" ref="BS47" si="521">IF($E48="H",IF(OR(LEFT(AA47,1)="T",LEFT(AA47,1)="R"),LEFT(AA47,2),LEFT(AA47,1)),"")</f>
        <v/>
      </c>
      <c r="BU47" s="144" t="str">
        <f t="shared" ref="BU47" si="522">IF(OR(LEFT(AB47,2)="PL",LEFT(AC47,2)="PL",LEFT(AD47,2)="PL",LEFT(AE47,2)="PL",LEFT(AF47,2)="PL"),IF($AS$17-AR47&gt;$BU$17,"X",""),"")</f>
        <v/>
      </c>
      <c r="BV47" s="144"/>
      <c r="BW47" s="135">
        <f t="shared" ref="BW47" si="523">IF(COUNTIF(BY47:CC47,BY47)&gt;1,1,IF(COUNTIF(BY47:CC47,BZ47)&gt;1,2,IF(COUNTIF(BY47:CC47,CA47)&gt;1,3,IF(COUNTIF(BY47:CC47,CB47)&gt;1,4,IF(COUNTIF(BY47:CC47,CC47)&gt;1,5,"")))))</f>
        <v>1</v>
      </c>
      <c r="BX47" s="135">
        <f t="shared" ref="BX47" si="524">IF(COUNTIF(BY47:CC47,CC47)&gt;1,5,IF(COUNTIF(BY47:CC47,CB47)&gt;1,4,IF(COUNTIF(BY47:CC47,CA47)&gt;1,3,IF(COUNTIF(BY47:CC47,BZ47)&gt;1,2,IF(COUNTIF(BY47:CC47,BY47)&gt;1,1,"")))))</f>
        <v>5</v>
      </c>
      <c r="BY47" s="132" t="str">
        <f t="shared" ref="BY47" si="525">IFERROR(IF($E48="H",IF(AB47="",BY$18,IF(ISNUMBER(_xlfn.NUMBERVALUE(LEFT(AB47,1))),MID(AB47,2,2),LEFT(AB47,2))),""),"")</f>
        <v/>
      </c>
      <c r="BZ47" s="132" t="str">
        <f t="shared" ref="BZ47" si="526">IFERROR(IF($E48="H",IF(AC47="",BZ$18,IF(ISNUMBER(_xlfn.NUMBERVALUE(LEFT(AC47,1))),MID(AC47,2,2),LEFT(AC47,2))),""),"")</f>
        <v/>
      </c>
      <c r="CA47" s="132" t="str">
        <f t="shared" ref="CA47" si="527">IFERROR(IF($E48="H",IF(AD47="",CA$18,IF(ISNUMBER(_xlfn.NUMBERVALUE(LEFT(AD47,1))),MID(AD47,2,2),LEFT(AD47,2))),""),"")</f>
        <v/>
      </c>
      <c r="CB47" s="132" t="str">
        <f t="shared" ref="CB47" si="528">IFERROR(IF($E48="H",IF(AE47="",CB$18,IF(ISNUMBER(_xlfn.NUMBERVALUE(LEFT(AE47,1))),MID(AE47,2,2),LEFT(AE47,2))),""),"")</f>
        <v/>
      </c>
      <c r="CC47" s="132" t="str">
        <f t="shared" ref="CC47" si="529">IFERROR(IF($E48="H",IF(AF47="",CC$18,IF(ISNUMBER(_xlfn.NUMBERVALUE(LEFT(AF47,1))),MID(AF47,2,2),LEFT(AF47,2))),""),"")</f>
        <v/>
      </c>
      <c r="CE47" s="135" t="str">
        <f t="shared" ref="CE47" si="530">IF(E48=3,_xlfn.NUMBERVALUE(LEFT(J47,1)),"")</f>
        <v/>
      </c>
    </row>
    <row r="48" spans="1:83" x14ac:dyDescent="0.25">
      <c r="A48" s="42"/>
      <c r="B48" s="43"/>
      <c r="C48" s="43"/>
      <c r="D48" s="43"/>
      <c r="E48" s="21" t="str">
        <f t="shared" ref="E48" si="531">IF(F47="Acrobatic","PA",IF(F47="Acrobatic Airborn","A",IF(F47="Acrobatic Balance","B",IF(F47="Acrobatic Combined","C",IF(F47="Acrobatic Platform","P",IF(F47="Technical Required Element",3,IF(LEFT(F47,4)="Hybr","H","")))))))</f>
        <v/>
      </c>
      <c r="F48" s="21" t="str">
        <f>IF(OR(F47="Acrobatic Airborn",F47="Acrobatic Balance",F47="Acrobatic Combined",F47="Acrobatic Platform"),"Acrobatic",IF(AND(F47="Hybrid - Thrust",AU47="X"),"Hybrid - Thrust - X",IF(AND(F47="Hybrid - 720",AU47="X"),"Hybrid - 720 - X","")))</f>
        <v/>
      </c>
      <c r="G48" s="45"/>
      <c r="H48" s="68" t="str">
        <f t="shared" si="2"/>
        <v/>
      </c>
      <c r="I48" s="69"/>
      <c r="J48" s="16">
        <f>IFERROR(IF($E48="",0,IF(AND($E48="H",$F$8&lt;&gt;"Acrobatic"),VLOOKUP(J47,HybridDDX,2,FALSE),IF($E48="PA",VLOOKUP(J47,AcroPairDDX,2,FALSE),IF(OR($E48="A",$E48="B",$E48="C",$E48="P"),0,IF($E48=3,VLOOKUP(J47,TreDDX,2,FALSE),0))))),0)</f>
        <v>0</v>
      </c>
      <c r="K48" s="16">
        <f>IFERROR(IF($E48="",0,IF(AND($E48="H",$F$8&lt;&gt;"Acrobatic"),VLOOKUP(K47,HybridDDX,2,FALSE),IF($E48="PA",0,IF($E48="A",SUMPRODUCT(--EXACT(K47,AcroADD2),AcroADD2X),IF($E48="B",SUMPRODUCT(--EXACT(K47,AcroBDD2),AcroBDD2X),IF($E48="C",SUMPRODUCT(--EXACT(K47,AcroCDD2),AcroCDD2X),IF($E48="P",SUMPRODUCT(--EXACT(K47,AcroPDD2),AcroPDD2X),IF($E48=3,0,0)))))))),0)</f>
        <v>0</v>
      </c>
      <c r="L48" s="16">
        <f t="array" ref="L48">IFERROR(IF($E48="",0,IF(AND($E48="H",$F$8&lt;&gt;"Acrobatic"),VLOOKUP(L47,HybridDDX,2,FALSE),IF($E48="PA",0,IF($E48="A",SUMPRODUCT(--EXACT(L47,AcroADD3),AcroADD3X),IF($E48="B",SUMPRODUCT(--EXACT(CONCATENATE(LEN(L47),L47),AcroBDD3W),AcroBDD3X),IF($E48="C",SUMPRODUCT(--EXACT(L47,AcroCDD3),AcroCDD3X),IF($E48="P",SUMPRODUCT(--EXACT(L47,AcroPDD3),AcroPDD3X),IF($E48=3,0,0)))))))),0)</f>
        <v>0</v>
      </c>
      <c r="M48" s="16">
        <f>IFERROR(IF($E48="",0,IF(AND($E48="H",$F$8&lt;&gt;"Acrobatic"),VLOOKUP(M47,HybridDDX,2,FALSE),IF($E48="PA",0,IF($E48="A",SUMPRODUCT(--EXACT(M47,AcroADD4p1),AcroADD4p1X),IF($E48="B",SUMPRODUCT(--EXACT(M47,AcroBDD4p1),AcroBDD4p1X),IF($E48="C",SUMPRODUCT(--EXACT(M47,AcroCDD4p1),AcroCDD4p1X),IF($E48="P",SUMPRODUCT(--EXACT(M47,AcroPDD4p1),AcroPDD4p1X),IF($E48=3,0,0)))))))),0)</f>
        <v>0</v>
      </c>
      <c r="N48" s="16">
        <f>IFERROR(IF($E48="",0,IF(AND($E48="H",$F$8&lt;&gt;"Acrobatic"),VLOOKUP(N47,HybridDDX,2,FALSE),IF($E48="PA",0,IF($E48="A",SUMPRODUCT(--EXACT(N47,AcroADD4p2),AcroADD4p2X),IF($E48="B",SUMPRODUCT(--EXACT(N47,AcroBDD4p2),AcroBDD4p2X),IF($E48="C",SUMPRODUCT(--EXACT(N47,AcroCDD4p2),AcroCDD4p2X),IF($E48="P",SUMPRODUCT(--EXACT(N47,AcroPDD4p2),AcroPDD4p2X),IF($E48=3,0,0)))))))),0)</f>
        <v>0</v>
      </c>
      <c r="O48" s="16">
        <f>IFERROR(IF($E48="",0,IF(AND($E48="H",$F$8&lt;&gt;"Acrobatic"),VLOOKUP(O47,HybridDDX,2,FALSE),IF($E48="PA",0,IF($E48="A",SUMPRODUCT(--EXACT(O47,AcroADD5),AcroADD5X),IF($E48="B",SUMPRODUCT(--EXACT(O47,AcroBDD5),AcroBDD5X),IF($E48="C",SUMPRODUCT(--EXACT(O47,AcroCDD5),AcroCDD5X),IF($E48="P",SUMPRODUCT(--EXACT(O47,AcroPDD5),AcroPDD5X),IF($E48=3,0,0)))))))),0)</f>
        <v>0</v>
      </c>
      <c r="P48" s="16">
        <f>IFERROR(IF($E48="",0,IF(AND($E48="H",$F$8&lt;&gt;"Acrobatic"),VLOOKUP(P47,HybridDDX,2,FALSE),IF($E48="C",SUMPRODUCT(--EXACT(P47,AcroCDD6),AcroCDD6X),0))),0)</f>
        <v>0</v>
      </c>
      <c r="Q48" s="16">
        <f t="shared" ref="Q48:AA48" si="532">IFERROR(IF($E48="",0,IF(AND($E48="H",$F$8&lt;&gt;"Acrobatic"),VLOOKUP(Q47,HybridDDX,2,FALSE),0)),0)</f>
        <v>0</v>
      </c>
      <c r="R48" s="16">
        <f t="shared" si="532"/>
        <v>0</v>
      </c>
      <c r="S48" s="16">
        <f t="shared" si="532"/>
        <v>0</v>
      </c>
      <c r="T48" s="16">
        <f t="shared" si="532"/>
        <v>0</v>
      </c>
      <c r="U48" s="16">
        <f t="shared" si="532"/>
        <v>0</v>
      </c>
      <c r="V48" s="16">
        <f t="shared" si="532"/>
        <v>0</v>
      </c>
      <c r="W48" s="16">
        <f t="shared" si="532"/>
        <v>0</v>
      </c>
      <c r="X48" s="16">
        <f t="shared" si="532"/>
        <v>0</v>
      </c>
      <c r="Y48" s="16">
        <f t="shared" si="532"/>
        <v>0</v>
      </c>
      <c r="Z48" s="16">
        <f t="shared" si="532"/>
        <v>0</v>
      </c>
      <c r="AA48" s="16">
        <f t="shared" si="532"/>
        <v>0</v>
      </c>
      <c r="AB48" s="28">
        <f>IFERROR(IF($E48="",0,IF(AND($E48="H",$F$8&lt;&gt;"Acrobatic"),VLOOKUP(AB47,BonusDDX,2,FALSE),IF($E48="A",VLOOKUP(AB47,AcroABonusX,2,FALSE),IF($E48="B",VLOOKUP(AB47,AcroBBonusX,2,FALSE),IF($E48="C",VLOOKUP(AB47,AcroCBonusX,2,FALSE),IF($E48="P",VLOOKUP(AB47,AcroPBonusX,2,FALSE),0)))))),0)</f>
        <v>0</v>
      </c>
      <c r="AC48" s="16">
        <f>IFERROR(IF($E48="",0,IF(AND($E48="H",$F$8&lt;&gt;"Acrobatic"),VLOOKUP(AC47,BonusDDX,2,FALSE),IF($E48="A",VLOOKUP(AC47,AcroABonusX,2,FALSE),IF($E48="B",VLOOKUP(AC47,AcroBBonusX,2,FALSE),IF($E48="C",VLOOKUP(AC47,AcroCBonusX,2,FALSE),IF($E48="P",VLOOKUP(AC47,AcroPBonusX,2,FALSE),0)))))),0)</f>
        <v>0</v>
      </c>
      <c r="AD48" s="16">
        <f>IFERROR(IF($E48="",0,IF(AND($E48="H",$F$8&lt;&gt;"Acrobatic"),VLOOKUP(AD47,BonusDDX,2,FALSE),0)),0)</f>
        <v>0</v>
      </c>
      <c r="AE48" s="16">
        <f>IFERROR(IF($E48="",0,IF(AND($E48="H",$F$8&lt;&gt;"Acrobatic"),VLOOKUP(AE47,BonusDDX,2,FALSE),0)),0)</f>
        <v>0</v>
      </c>
      <c r="AF48" s="46">
        <f>IFERROR(IF($E48="",0,IF(AND($E48="H",$F$8&lt;&gt;"Acrobatic"),VLOOKUP(AF47,BonusDDX,2,FALSE),0)),0)</f>
        <v>0</v>
      </c>
      <c r="AG48" s="71">
        <f t="shared" ref="AG48" si="533">SUM(H48:AF48)</f>
        <v>0</v>
      </c>
      <c r="AH48" s="98"/>
      <c r="AI48" s="98"/>
      <c r="AJ48" s="145"/>
      <c r="AK48" s="145"/>
      <c r="AL48" s="145"/>
      <c r="AM48" s="145"/>
      <c r="AN48" s="145"/>
      <c r="AO48" s="145"/>
      <c r="AP48" s="145"/>
      <c r="AQ48" s="145"/>
      <c r="AR48" s="146" t="str">
        <f>IFERROR(IF($N$7="X",IF(AND(E48="C",AG48&gt;2.45),"X",IF(AND(E48="A",AG48&gt;2.65),"X",IF(AND(E48="B",AG48&gt;2.6),"X",IF(AND(E48="P",AG48&gt;2.5),"X","")))),""),"")</f>
        <v/>
      </c>
      <c r="AS48" s="138"/>
      <c r="AU48" s="132"/>
    </row>
    <row r="49" spans="1:83" x14ac:dyDescent="0.25">
      <c r="A49" s="42" t="str">
        <f t="shared" ref="A49" si="534">IF(AND(E47="",A47&lt;&gt;""),IF(AS47=$AS$18,"",IF(C47&lt;&gt;"",IF(D47=59,MINUTE(AS47)+1,MINUTE(AS47)),"")),"")</f>
        <v/>
      </c>
      <c r="B49" s="43" t="str">
        <f t="shared" ref="B49" si="535">IF(AND(E47="",B47&lt;&gt;""),IF(AS47=$AS$18,"",IF(C47&lt;&gt;"",IF(D47=59,0,SECOND(AS47)+1),"")),"")</f>
        <v/>
      </c>
      <c r="C49" s="54"/>
      <c r="D49" s="54"/>
      <c r="E49" s="9"/>
      <c r="F49" s="55"/>
      <c r="G49" s="45" t="str">
        <f>IF(F49&lt;&gt;"",IF(OR(F49="Transition",F49="Connected Surface Movment",F49="Cadense"),0,MAX($G$19:G48)+1),"")</f>
        <v/>
      </c>
      <c r="H49" s="68" t="str">
        <f t="shared" ref="H49" si="536">IF(E50=3,"",IF(E50="H","BM",IF(E50="PA",IF(OR(LEFT(J49,1)="L",LEFT(J49,1)="S"),"A-Pair-Lift",IF(OR(LEFT(J49,1)="W",LEFT(J49,1)="T"),"A-Pair-Throw",IF(LEFT(J49,1)="J","A-Pair-Jump","A-Pair"))),IF(OR(E50="A",E50="B",E50="C",E50="P"),CONCATENATE("Acro-",J49),""))))</f>
        <v/>
      </c>
      <c r="I49" s="69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6"/>
      <c r="AC49" s="161"/>
      <c r="AD49" s="161"/>
      <c r="AE49" s="161"/>
      <c r="AF49" s="167"/>
      <c r="AG49" s="47"/>
      <c r="AH49" s="97"/>
      <c r="AI49" s="97"/>
      <c r="AJ49" s="134"/>
      <c r="AK49" s="134"/>
      <c r="AL49" s="134"/>
      <c r="AM49" s="134"/>
      <c r="AN49" s="134"/>
      <c r="AO49" s="134"/>
      <c r="AP49" s="134"/>
      <c r="AQ49" s="134"/>
      <c r="AR49" s="137" t="str">
        <f>IFERROR(TIME(0,A49,B49),"")</f>
        <v/>
      </c>
      <c r="AS49" s="138">
        <f>IFERROR(TIME(0,C49,D49),"")</f>
        <v>0</v>
      </c>
      <c r="AU49" s="132" t="str">
        <f>IF(AND(F49="Hybrid - Thrust",OR(LEFT(J49,1)="T",LEFT(K49,1)="T",LEFT(L49,1)="T",LEFT(JX49,1)="T",LEFT(M49,1)="T",LEFT(N49,1)="T",LEFT(O49,1)="T",LEFT(P49,1)="T",LEFT(Q49,1)="T",LEFT(R49,1)="T",LEFT(S49,1)="T",LEFT(T49,1)="T",LEFT(U49,1)="T",LEFT(V49,1)="T",LEFT(W49,1)="T",LEFT(X49,1)="T",LEFT(Y49,1)="T",LEFT(Z49,1)="T",LEFT(AA49,1)="T")),IF(OR(LEN(J49)=2,LEN(K49)=2,LEN(L49)=2,LEN(M49)=2,LEN(N49)=2,LEN(O49)=2,LEN(P49)=2,LEN(Q49)=2,LEN(R49)=2,LEN(S49)=2,LEN(T49)=2,LEN(U49)=2,LEN(V49)=2,LEN(W49)=2,LEN(X49)=2,LEN(Y49)=2,LEN(Z49)=2,LEN(AA49)=2),"X",""),IF(AND(F49="Hybrid - 720",OR(J49="R3",K49="R3",L49="R3",M49="R3",N49="R3",O49="R3",P49="R3",Q49="R3",R49="R3",S49="R3",T49="R3",U49="R3",V49="R3",W49="R3",X49="R3",Y49="R3",Z49="R3",AA49="R3")),"X",""))</f>
        <v/>
      </c>
      <c r="AV49" s="135" t="str">
        <f>IF(F49="Hybrid",SECOND(AS49),"")</f>
        <v/>
      </c>
      <c r="AW49" s="135">
        <f t="shared" ref="AW49" si="537">COUNTIF(BB49:BS49,"=T1")+COUNTIF(BB49:BS49,"=T2")+COUNTIF(BB49:BS49,"=T3")+COUNTIF(BB49:BS49,"=T4")</f>
        <v>0</v>
      </c>
      <c r="AX49" s="135">
        <f t="shared" ref="AX49" si="538">COUNTIF(BB49:BS49,"=r1")+COUNTIF(BB49:BS49,"=r2")+COUNTIF(BB49:BS49,"=r3")+COUNTIF(BB49:BS49,"=r4")</f>
        <v>0</v>
      </c>
      <c r="AY49" s="135">
        <f t="shared" ref="AY49" si="539">COUNTIF(BB49:BS49,"=A")</f>
        <v>0</v>
      </c>
      <c r="AZ49" s="135">
        <f t="shared" ref="AZ49" si="540">COUNTIF(BB49:BS49,"=F")</f>
        <v>0</v>
      </c>
      <c r="BA49" s="135">
        <f t="shared" ref="BA49" si="541">COUNTIF(BB49:BS49,"=C")</f>
        <v>0</v>
      </c>
      <c r="BB49" s="132" t="str">
        <f t="shared" ref="BB49" si="542">IF($E50="H",IF(OR(LEFT(J49,1)="T",LEFT(J49,1)="R"),LEFT(J49,2),LEFT(J49,1)),"")</f>
        <v/>
      </c>
      <c r="BC49" s="132" t="str">
        <f t="shared" ref="BC49" si="543">IF($E50="H",IF(OR(LEFT(K49,1)="T",LEFT(K49,1)="R"),LEFT(K49,2),LEFT(K49,1)),"")</f>
        <v/>
      </c>
      <c r="BD49" s="132" t="str">
        <f t="shared" ref="BD49" si="544">IF($E50="H",IF(OR(LEFT(L49,1)="T",LEFT(L49,1)="R"),LEFT(L49,2),LEFT(L49,1)),"")</f>
        <v/>
      </c>
      <c r="BE49" s="132" t="str">
        <f t="shared" ref="BE49" si="545">IF($E50="H",IF(OR(LEFT(M49,1)="T",LEFT(M49,1)="R"),LEFT(M49,2),LEFT(M49,1)),"")</f>
        <v/>
      </c>
      <c r="BF49" s="132" t="str">
        <f t="shared" ref="BF49" si="546">IF($E50="H",IF(OR(LEFT(N49,1)="T",LEFT(N49,1)="R"),LEFT(N49,2),LEFT(N49,1)),"")</f>
        <v/>
      </c>
      <c r="BG49" s="132" t="str">
        <f t="shared" ref="BG49" si="547">IF($E50="H",IF(OR(LEFT(O49,1)="T",LEFT(O49,1)="R"),LEFT(O49,2),LEFT(O49,1)),"")</f>
        <v/>
      </c>
      <c r="BH49" s="132" t="str">
        <f t="shared" ref="BH49" si="548">IF($E50="H",IF(OR(LEFT(P49,1)="T",LEFT(P49,1)="R"),LEFT(P49,2),LEFT(P49,1)),"")</f>
        <v/>
      </c>
      <c r="BI49" s="132" t="str">
        <f t="shared" ref="BI49" si="549">IF($E50="H",IF(OR(LEFT(Q49,1)="T",LEFT(Q49,1)="R"),LEFT(Q49,2),LEFT(Q49,1)),"")</f>
        <v/>
      </c>
      <c r="BJ49" s="132" t="str">
        <f t="shared" ref="BJ49" si="550">IF($E50="H",IF(OR(LEFT(R49,1)="T",LEFT(R49,1)="R"),LEFT(R49,2),LEFT(R49,1)),"")</f>
        <v/>
      </c>
      <c r="BK49" s="132" t="str">
        <f t="shared" ref="BK49" si="551">IF($E50="H",IF(OR(LEFT(S49,1)="T",LEFT(S49,1)="R"),LEFT(S49,2),LEFT(S49,1)),"")</f>
        <v/>
      </c>
      <c r="BL49" s="132" t="str">
        <f t="shared" ref="BL49" si="552">IF($E50="H",IF(OR(LEFT(T49,1)="T",LEFT(T49,1)="R"),LEFT(T49,2),LEFT(T49,1)),"")</f>
        <v/>
      </c>
      <c r="BM49" s="132" t="str">
        <f t="shared" ref="BM49" si="553">IF($E50="H",IF(OR(LEFT(U49,1)="T",LEFT(U49,1)="R"),LEFT(U49,2),LEFT(U49,1)),"")</f>
        <v/>
      </c>
      <c r="BN49" s="132" t="str">
        <f t="shared" ref="BN49" si="554">IF($E50="H",IF(OR(LEFT(V49,1)="T",LEFT(V49,1)="R"),LEFT(V49,2),LEFT(V49,1)),"")</f>
        <v/>
      </c>
      <c r="BO49" s="132" t="str">
        <f t="shared" ref="BO49" si="555">IF($E50="H",IF(OR(LEFT(W49,1)="T",LEFT(W49,1)="R"),LEFT(W49,2),LEFT(W49,1)),"")</f>
        <v/>
      </c>
      <c r="BP49" s="132" t="str">
        <f t="shared" ref="BP49" si="556">IF($E50="H",IF(OR(LEFT(X49,1)="T",LEFT(X49,1)="R"),LEFT(X49,2),LEFT(X49,1)),"")</f>
        <v/>
      </c>
      <c r="BQ49" s="132" t="str">
        <f t="shared" ref="BQ49" si="557">IF($E50="H",IF(OR(LEFT(Y49,1)="T",LEFT(Y49,1)="R"),LEFT(Y49,2),LEFT(Y49,1)),"")</f>
        <v/>
      </c>
      <c r="BR49" s="132" t="str">
        <f t="shared" ref="BR49" si="558">IF($E50="H",IF(OR(LEFT(Z49,1)="T",LEFT(Z49,1)="R"),LEFT(Z49,2),LEFT(Z49,1)),"")</f>
        <v/>
      </c>
      <c r="BS49" s="132" t="str">
        <f t="shared" ref="BS49" si="559">IF($E50="H",IF(OR(LEFT(AA49,1)="T",LEFT(AA49,1)="R"),LEFT(AA49,2),LEFT(AA49,1)),"")</f>
        <v/>
      </c>
      <c r="BU49" s="144" t="str">
        <f t="shared" ref="BU49" si="560">IF(OR(LEFT(AB49,2)="PL",LEFT(AC49,2)="PL",LEFT(AD49,2)="PL",LEFT(AE49,2)="PL",LEFT(AF49,2)="PL"),IF($AS$17-AR49&gt;$BU$17,"X",""),"")</f>
        <v/>
      </c>
      <c r="BV49" s="144"/>
      <c r="BW49" s="135">
        <f t="shared" ref="BW49" si="561">IF(COUNTIF(BY49:CC49,BY49)&gt;1,1,IF(COUNTIF(BY49:CC49,BZ49)&gt;1,2,IF(COUNTIF(BY49:CC49,CA49)&gt;1,3,IF(COUNTIF(BY49:CC49,CB49)&gt;1,4,IF(COUNTIF(BY49:CC49,CC49)&gt;1,5,"")))))</f>
        <v>1</v>
      </c>
      <c r="BX49" s="135">
        <f t="shared" ref="BX49" si="562">IF(COUNTIF(BY49:CC49,CC49)&gt;1,5,IF(COUNTIF(BY49:CC49,CB49)&gt;1,4,IF(COUNTIF(BY49:CC49,CA49)&gt;1,3,IF(COUNTIF(BY49:CC49,BZ49)&gt;1,2,IF(COUNTIF(BY49:CC49,BY49)&gt;1,1,"")))))</f>
        <v>5</v>
      </c>
      <c r="BY49" s="132" t="str">
        <f t="shared" ref="BY49" si="563">IFERROR(IF($E50="H",IF(AB49="",BY$18,IF(ISNUMBER(_xlfn.NUMBERVALUE(LEFT(AB49,1))),MID(AB49,2,2),LEFT(AB49,2))),""),"")</f>
        <v/>
      </c>
      <c r="BZ49" s="132" t="str">
        <f t="shared" ref="BZ49" si="564">IFERROR(IF($E50="H",IF(AC49="",BZ$18,IF(ISNUMBER(_xlfn.NUMBERVALUE(LEFT(AC49,1))),MID(AC49,2,2),LEFT(AC49,2))),""),"")</f>
        <v/>
      </c>
      <c r="CA49" s="132" t="str">
        <f t="shared" ref="CA49" si="565">IFERROR(IF($E50="H",IF(AD49="",CA$18,IF(ISNUMBER(_xlfn.NUMBERVALUE(LEFT(AD49,1))),MID(AD49,2,2),LEFT(AD49,2))),""),"")</f>
        <v/>
      </c>
      <c r="CB49" s="132" t="str">
        <f t="shared" ref="CB49" si="566">IFERROR(IF($E50="H",IF(AE49="",CB$18,IF(ISNUMBER(_xlfn.NUMBERVALUE(LEFT(AE49,1))),MID(AE49,2,2),LEFT(AE49,2))),""),"")</f>
        <v/>
      </c>
      <c r="CC49" s="132" t="str">
        <f t="shared" ref="CC49" si="567">IFERROR(IF($E50="H",IF(AF49="",CC$18,IF(ISNUMBER(_xlfn.NUMBERVALUE(LEFT(AF49,1))),MID(AF49,2,2),LEFT(AF49,2))),""),"")</f>
        <v/>
      </c>
      <c r="CE49" s="135" t="str">
        <f t="shared" ref="CE49" si="568">IF(E50=3,_xlfn.NUMBERVALUE(LEFT(J49,1)),"")</f>
        <v/>
      </c>
    </row>
    <row r="50" spans="1:83" x14ac:dyDescent="0.25">
      <c r="A50" s="42"/>
      <c r="B50" s="43"/>
      <c r="C50" s="43"/>
      <c r="D50" s="43"/>
      <c r="E50" s="21" t="str">
        <f t="shared" ref="E50" si="569">IF(F49="Acrobatic","PA",IF(F49="Acrobatic Airborn","A",IF(F49="Acrobatic Balance","B",IF(F49="Acrobatic Combined","C",IF(F49="Acrobatic Platform","P",IF(F49="Technical Required Element",3,IF(LEFT(F49,4)="Hybr","H","")))))))</f>
        <v/>
      </c>
      <c r="F50" s="21" t="str">
        <f>IF(OR(F49="Acrobatic Airborn",F49="Acrobatic Balance",F49="Acrobatic Combined",F49="Acrobatic Platform"),"Acrobatic",IF(AND(F49="Hybrid - Thrust",AU49="X"),"Hybrid - Thrust - X",IF(AND(F49="Hybrid - 720",AU49="X"),"Hybrid - 720 - X","")))</f>
        <v/>
      </c>
      <c r="G50" s="45"/>
      <c r="H50" s="68" t="str">
        <f t="shared" si="2"/>
        <v/>
      </c>
      <c r="I50" s="69"/>
      <c r="J50" s="16">
        <f>IFERROR(IF($E50="",0,IF(AND($E50="H",$F$8&lt;&gt;"Acrobatic"),VLOOKUP(J49,HybridDDX,2,FALSE),IF($E50="PA",VLOOKUP(J49,AcroPairDDX,2,FALSE),IF(OR($E50="A",$E50="B",$E50="C",$E50="P"),0,IF($E50=3,VLOOKUP(J49,TreDDX,2,FALSE),0))))),0)</f>
        <v>0</v>
      </c>
      <c r="K50" s="16">
        <f>IFERROR(IF($E50="",0,IF(AND($E50="H",$F$8&lt;&gt;"Acrobatic"),VLOOKUP(K49,HybridDDX,2,FALSE),IF($E50="PA",0,IF($E50="A",SUMPRODUCT(--EXACT(K49,AcroADD2),AcroADD2X),IF($E50="B",SUMPRODUCT(--EXACT(K49,AcroBDD2),AcroBDD2X),IF($E50="C",SUMPRODUCT(--EXACT(K49,AcroCDD2),AcroCDD2X),IF($E50="P",SUMPRODUCT(--EXACT(K49,AcroPDD2),AcroPDD2X),IF($E50=3,0,0)))))))),0)</f>
        <v>0</v>
      </c>
      <c r="L50" s="16">
        <f t="array" ref="L50">IFERROR(IF($E50="",0,IF(AND($E50="H",$F$8&lt;&gt;"Acrobatic"),VLOOKUP(L49,HybridDDX,2,FALSE),IF($E50="PA",0,IF($E50="A",SUMPRODUCT(--EXACT(L49,AcroADD3),AcroADD3X),IF($E50="B",SUMPRODUCT(--EXACT(CONCATENATE(LEN(L49),L49),AcroBDD3W),AcroBDD3X),IF($E50="C",SUMPRODUCT(--EXACT(L49,AcroCDD3),AcroCDD3X),IF($E50="P",SUMPRODUCT(--EXACT(L49,AcroPDD3),AcroPDD3X),IF($E50=3,0,0)))))))),0)</f>
        <v>0</v>
      </c>
      <c r="M50" s="16">
        <f>IFERROR(IF($E50="",0,IF(AND($E50="H",$F$8&lt;&gt;"Acrobatic"),VLOOKUP(M49,HybridDDX,2,FALSE),IF($E50="PA",0,IF($E50="A",SUMPRODUCT(--EXACT(M49,AcroADD4p1),AcroADD4p1X),IF($E50="B",SUMPRODUCT(--EXACT(M49,AcroBDD4p1),AcroBDD4p1X),IF($E50="C",SUMPRODUCT(--EXACT(M49,AcroCDD4p1),AcroCDD4p1X),IF($E50="P",SUMPRODUCT(--EXACT(M49,AcroPDD4p1),AcroPDD4p1X),IF($E50=3,0,0)))))))),0)</f>
        <v>0</v>
      </c>
      <c r="N50" s="16">
        <f>IFERROR(IF($E50="",0,IF(AND($E50="H",$F$8&lt;&gt;"Acrobatic"),VLOOKUP(N49,HybridDDX,2,FALSE),IF($E50="PA",0,IF($E50="A",SUMPRODUCT(--EXACT(N49,AcroADD4p2),AcroADD4p2X),IF($E50="B",SUMPRODUCT(--EXACT(N49,AcroBDD4p2),AcroBDD4p2X),IF($E50="C",SUMPRODUCT(--EXACT(N49,AcroCDD4p2),AcroCDD4p2X),IF($E50="P",SUMPRODUCT(--EXACT(N49,AcroPDD4p2),AcroPDD4p2X),IF($E50=3,0,0)))))))),0)</f>
        <v>0</v>
      </c>
      <c r="O50" s="16">
        <f>IFERROR(IF($E50="",0,IF(AND($E50="H",$F$8&lt;&gt;"Acrobatic"),VLOOKUP(O49,HybridDDX,2,FALSE),IF($E50="PA",0,IF($E50="A",SUMPRODUCT(--EXACT(O49,AcroADD5),AcroADD5X),IF($E50="B",SUMPRODUCT(--EXACT(O49,AcroBDD5),AcroBDD5X),IF($E50="C",SUMPRODUCT(--EXACT(O49,AcroCDD5),AcroCDD5X),IF($E50="P",SUMPRODUCT(--EXACT(O49,AcroPDD5),AcroPDD5X),IF($E50=3,0,0)))))))),0)</f>
        <v>0</v>
      </c>
      <c r="P50" s="16">
        <f>IFERROR(IF($E50="",0,IF(AND($E50="H",$F$8&lt;&gt;"Acrobatic"),VLOOKUP(P49,HybridDDX,2,FALSE),IF($E50="C",SUMPRODUCT(--EXACT(P49,AcroCDD6),AcroCDD6X),0))),0)</f>
        <v>0</v>
      </c>
      <c r="Q50" s="16">
        <f t="shared" ref="Q50:AA50" si="570">IFERROR(IF($E50="",0,IF(AND($E50="H",$F$8&lt;&gt;"Acrobatic"),VLOOKUP(Q49,HybridDDX,2,FALSE),0)),0)</f>
        <v>0</v>
      </c>
      <c r="R50" s="16">
        <f t="shared" si="570"/>
        <v>0</v>
      </c>
      <c r="S50" s="16">
        <f t="shared" si="570"/>
        <v>0</v>
      </c>
      <c r="T50" s="16">
        <f t="shared" si="570"/>
        <v>0</v>
      </c>
      <c r="U50" s="16">
        <f t="shared" si="570"/>
        <v>0</v>
      </c>
      <c r="V50" s="16">
        <f t="shared" si="570"/>
        <v>0</v>
      </c>
      <c r="W50" s="16">
        <f t="shared" si="570"/>
        <v>0</v>
      </c>
      <c r="X50" s="16">
        <f t="shared" si="570"/>
        <v>0</v>
      </c>
      <c r="Y50" s="16">
        <f t="shared" si="570"/>
        <v>0</v>
      </c>
      <c r="Z50" s="16">
        <f t="shared" si="570"/>
        <v>0</v>
      </c>
      <c r="AA50" s="16">
        <f t="shared" si="570"/>
        <v>0</v>
      </c>
      <c r="AB50" s="28">
        <f>IFERROR(IF($E50="",0,IF(AND($E50="H",$F$8&lt;&gt;"Acrobatic"),VLOOKUP(AB49,BonusDDX,2,FALSE),IF($E50="A",VLOOKUP(AB49,AcroABonusX,2,FALSE),IF($E50="B",VLOOKUP(AB49,AcroBBonusX,2,FALSE),IF($E50="C",VLOOKUP(AB49,AcroCBonusX,2,FALSE),IF($E50="P",VLOOKUP(AB49,AcroPBonusX,2,FALSE),0)))))),0)</f>
        <v>0</v>
      </c>
      <c r="AC50" s="16">
        <f>IFERROR(IF($E50="",0,IF(AND($E50="H",$F$8&lt;&gt;"Acrobatic"),VLOOKUP(AC49,BonusDDX,2,FALSE),IF($E50="A",VLOOKUP(AC49,AcroABonusX,2,FALSE),IF($E50="B",VLOOKUP(AC49,AcroBBonusX,2,FALSE),IF($E50="C",VLOOKUP(AC49,AcroCBonusX,2,FALSE),IF($E50="P",VLOOKUP(AC49,AcroPBonusX,2,FALSE),0)))))),0)</f>
        <v>0</v>
      </c>
      <c r="AD50" s="16">
        <f>IFERROR(IF($E50="",0,IF(AND($E50="H",$F$8&lt;&gt;"Acrobatic"),VLOOKUP(AD49,BonusDDX,2,FALSE),0)),0)</f>
        <v>0</v>
      </c>
      <c r="AE50" s="16">
        <f>IFERROR(IF($E50="",0,IF(AND($E50="H",$F$8&lt;&gt;"Acrobatic"),VLOOKUP(AE49,BonusDDX,2,FALSE),0)),0)</f>
        <v>0</v>
      </c>
      <c r="AF50" s="46">
        <f>IFERROR(IF($E50="",0,IF(AND($E50="H",$F$8&lt;&gt;"Acrobatic"),VLOOKUP(AF49,BonusDDX,2,FALSE),0)),0)</f>
        <v>0</v>
      </c>
      <c r="AG50" s="71">
        <f t="shared" ref="AG50" si="571">SUM(H50:AF50)</f>
        <v>0</v>
      </c>
      <c r="AH50" s="98"/>
      <c r="AI50" s="98"/>
      <c r="AJ50" s="145"/>
      <c r="AK50" s="145"/>
      <c r="AL50" s="145"/>
      <c r="AM50" s="145"/>
      <c r="AN50" s="145"/>
      <c r="AO50" s="145"/>
      <c r="AP50" s="145"/>
      <c r="AQ50" s="145"/>
      <c r="AR50" s="146" t="str">
        <f>IFERROR(IF($N$7="X",IF(AND(E50="C",AG50&gt;2.45),"X",IF(AND(E50="A",AG50&gt;2.65),"X",IF(AND(E50="B",AG50&gt;2.6),"X",IF(AND(E50="P",AG50&gt;2.5),"X","")))),""),"")</f>
        <v/>
      </c>
      <c r="AS50" s="138"/>
      <c r="AU50" s="132"/>
    </row>
    <row r="51" spans="1:83" x14ac:dyDescent="0.25">
      <c r="A51" s="42" t="str">
        <f t="shared" ref="A51" si="572">IF(AND(E49="",A49&lt;&gt;""),IF(AS49=$AS$18,"",IF(C49&lt;&gt;"",IF(D49=59,MINUTE(AS49)+1,MINUTE(AS49)),"")),"")</f>
        <v/>
      </c>
      <c r="B51" s="43" t="str">
        <f t="shared" ref="B51" si="573">IF(AND(E49="",B49&lt;&gt;""),IF(AS49=$AS$18,"",IF(C49&lt;&gt;"",IF(D49=59,0,SECOND(AS49)+1),"")),"")</f>
        <v/>
      </c>
      <c r="C51" s="54"/>
      <c r="D51" s="54"/>
      <c r="E51" s="9"/>
      <c r="F51" s="55"/>
      <c r="G51" s="45" t="str">
        <f>IF(F51&lt;&gt;"",IF(OR(F51="Transition",F51="Connected Surface Movment",F51="Cadense"),0,MAX($G$19:G50)+1),"")</f>
        <v/>
      </c>
      <c r="H51" s="68" t="str">
        <f t="shared" ref="H51" si="574">IF(E52=3,"",IF(E52="H","BM",IF(E52="PA",IF(OR(LEFT(J51,1)="L",LEFT(J51,1)="S"),"A-Pair-Lift",IF(OR(LEFT(J51,1)="W",LEFT(J51,1)="T"),"A-Pair-Throw",IF(LEFT(J51,1)="J","A-Pair-Jump","A-Pair"))),IF(OR(E52="A",E52="B",E52="C",E52="P"),CONCATENATE("Acro-",J51),""))))</f>
        <v/>
      </c>
      <c r="I51" s="69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6"/>
      <c r="AC51" s="161"/>
      <c r="AD51" s="161"/>
      <c r="AE51" s="161"/>
      <c r="AF51" s="167"/>
      <c r="AG51" s="47"/>
      <c r="AH51" s="97"/>
      <c r="AI51" s="97"/>
      <c r="AJ51" s="134"/>
      <c r="AK51" s="134"/>
      <c r="AL51" s="134"/>
      <c r="AM51" s="134"/>
      <c r="AN51" s="134"/>
      <c r="AO51" s="134"/>
      <c r="AP51" s="134"/>
      <c r="AQ51" s="134"/>
      <c r="AR51" s="137" t="str">
        <f>IFERROR(TIME(0,A51,B51),"")</f>
        <v/>
      </c>
      <c r="AS51" s="138">
        <f>IFERROR(TIME(0,C51,D51),"")</f>
        <v>0</v>
      </c>
      <c r="AU51" s="132" t="str">
        <f>IF(AND(F51="Hybrid - Thrust",OR(LEFT(J51,1)="T",LEFT(K51,1)="T",LEFT(L51,1)="T",LEFT(JX51,1)="T",LEFT(M51,1)="T",LEFT(N51,1)="T",LEFT(O51,1)="T",LEFT(P51,1)="T",LEFT(Q51,1)="T",LEFT(R51,1)="T",LEFT(S51,1)="T",LEFT(T51,1)="T",LEFT(U51,1)="T",LEFT(V51,1)="T",LEFT(W51,1)="T",LEFT(X51,1)="T",LEFT(Y51,1)="T",LEFT(Z51,1)="T",LEFT(AA51,1)="T")),IF(OR(LEN(J51)=2,LEN(K51)=2,LEN(L51)=2,LEN(M51)=2,LEN(N51)=2,LEN(O51)=2,LEN(P51)=2,LEN(Q51)=2,LEN(R51)=2,LEN(S51)=2,LEN(T51)=2,LEN(U51)=2,LEN(V51)=2,LEN(W51)=2,LEN(X51)=2,LEN(Y51)=2,LEN(Z51)=2,LEN(AA51)=2),"X",""),IF(AND(F51="Hybrid - 720",OR(J51="R3",K51="R3",L51="R3",M51="R3",N51="R3",O51="R3",P51="R3",Q51="R3",R51="R3",S51="R3",T51="R3",U51="R3",V51="R3",W51="R3",X51="R3",Y51="R3",Z51="R3",AA51="R3")),"X",""))</f>
        <v/>
      </c>
      <c r="AV51" s="135" t="str">
        <f>IF(F51="Hybrid",SECOND(AS51),"")</f>
        <v/>
      </c>
      <c r="AW51" s="135">
        <f t="shared" ref="AW51" si="575">COUNTIF(BB51:BS51,"=T1")+COUNTIF(BB51:BS51,"=T2")+COUNTIF(BB51:BS51,"=T3")+COUNTIF(BB51:BS51,"=T4")</f>
        <v>0</v>
      </c>
      <c r="AX51" s="135">
        <f t="shared" ref="AX51" si="576">COUNTIF(BB51:BS51,"=r1")+COUNTIF(BB51:BS51,"=r2")+COUNTIF(BB51:BS51,"=r3")+COUNTIF(BB51:BS51,"=r4")</f>
        <v>0</v>
      </c>
      <c r="AY51" s="135">
        <f t="shared" ref="AY51" si="577">COUNTIF(BB51:BS51,"=A")</f>
        <v>0</v>
      </c>
      <c r="AZ51" s="135">
        <f t="shared" ref="AZ51" si="578">COUNTIF(BB51:BS51,"=F")</f>
        <v>0</v>
      </c>
      <c r="BA51" s="135">
        <f t="shared" ref="BA51" si="579">COUNTIF(BB51:BS51,"=C")</f>
        <v>0</v>
      </c>
      <c r="BB51" s="132" t="str">
        <f t="shared" ref="BB51" si="580">IF($E52="H",IF(OR(LEFT(J51,1)="T",LEFT(J51,1)="R"),LEFT(J51,2),LEFT(J51,1)),"")</f>
        <v/>
      </c>
      <c r="BC51" s="132" t="str">
        <f t="shared" ref="BC51" si="581">IF($E52="H",IF(OR(LEFT(K51,1)="T",LEFT(K51,1)="R"),LEFT(K51,2),LEFT(K51,1)),"")</f>
        <v/>
      </c>
      <c r="BD51" s="132" t="str">
        <f t="shared" ref="BD51" si="582">IF($E52="H",IF(OR(LEFT(L51,1)="T",LEFT(L51,1)="R"),LEFT(L51,2),LEFT(L51,1)),"")</f>
        <v/>
      </c>
      <c r="BE51" s="132" t="str">
        <f t="shared" ref="BE51" si="583">IF($E52="H",IF(OR(LEFT(M51,1)="T",LEFT(M51,1)="R"),LEFT(M51,2),LEFT(M51,1)),"")</f>
        <v/>
      </c>
      <c r="BF51" s="132" t="str">
        <f t="shared" ref="BF51" si="584">IF($E52="H",IF(OR(LEFT(N51,1)="T",LEFT(N51,1)="R"),LEFT(N51,2),LEFT(N51,1)),"")</f>
        <v/>
      </c>
      <c r="BG51" s="132" t="str">
        <f t="shared" ref="BG51" si="585">IF($E52="H",IF(OR(LEFT(O51,1)="T",LEFT(O51,1)="R"),LEFT(O51,2),LEFT(O51,1)),"")</f>
        <v/>
      </c>
      <c r="BH51" s="132" t="str">
        <f t="shared" ref="BH51" si="586">IF($E52="H",IF(OR(LEFT(P51,1)="T",LEFT(P51,1)="R"),LEFT(P51,2),LEFT(P51,1)),"")</f>
        <v/>
      </c>
      <c r="BI51" s="132" t="str">
        <f t="shared" ref="BI51" si="587">IF($E52="H",IF(OR(LEFT(Q51,1)="T",LEFT(Q51,1)="R"),LEFT(Q51,2),LEFT(Q51,1)),"")</f>
        <v/>
      </c>
      <c r="BJ51" s="132" t="str">
        <f t="shared" ref="BJ51" si="588">IF($E52="H",IF(OR(LEFT(R51,1)="T",LEFT(R51,1)="R"),LEFT(R51,2),LEFT(R51,1)),"")</f>
        <v/>
      </c>
      <c r="BK51" s="132" t="str">
        <f t="shared" ref="BK51" si="589">IF($E52="H",IF(OR(LEFT(S51,1)="T",LEFT(S51,1)="R"),LEFT(S51,2),LEFT(S51,1)),"")</f>
        <v/>
      </c>
      <c r="BL51" s="132" t="str">
        <f t="shared" ref="BL51" si="590">IF($E52="H",IF(OR(LEFT(T51,1)="T",LEFT(T51,1)="R"),LEFT(T51,2),LEFT(T51,1)),"")</f>
        <v/>
      </c>
      <c r="BM51" s="132" t="str">
        <f t="shared" ref="BM51" si="591">IF($E52="H",IF(OR(LEFT(U51,1)="T",LEFT(U51,1)="R"),LEFT(U51,2),LEFT(U51,1)),"")</f>
        <v/>
      </c>
      <c r="BN51" s="132" t="str">
        <f t="shared" ref="BN51" si="592">IF($E52="H",IF(OR(LEFT(V51,1)="T",LEFT(V51,1)="R"),LEFT(V51,2),LEFT(V51,1)),"")</f>
        <v/>
      </c>
      <c r="BO51" s="132" t="str">
        <f t="shared" ref="BO51" si="593">IF($E52="H",IF(OR(LEFT(W51,1)="T",LEFT(W51,1)="R"),LEFT(W51,2),LEFT(W51,1)),"")</f>
        <v/>
      </c>
      <c r="BP51" s="132" t="str">
        <f t="shared" ref="BP51" si="594">IF($E52="H",IF(OR(LEFT(X51,1)="T",LEFT(X51,1)="R"),LEFT(X51,2),LEFT(X51,1)),"")</f>
        <v/>
      </c>
      <c r="BQ51" s="132" t="str">
        <f t="shared" ref="BQ51" si="595">IF($E52="H",IF(OR(LEFT(Y51,1)="T",LEFT(Y51,1)="R"),LEFT(Y51,2),LEFT(Y51,1)),"")</f>
        <v/>
      </c>
      <c r="BR51" s="132" t="str">
        <f t="shared" ref="BR51" si="596">IF($E52="H",IF(OR(LEFT(Z51,1)="T",LEFT(Z51,1)="R"),LEFT(Z51,2),LEFT(Z51,1)),"")</f>
        <v/>
      </c>
      <c r="BS51" s="132" t="str">
        <f t="shared" ref="BS51" si="597">IF($E52="H",IF(OR(LEFT(AA51,1)="T",LEFT(AA51,1)="R"),LEFT(AA51,2),LEFT(AA51,1)),"")</f>
        <v/>
      </c>
      <c r="BU51" s="144" t="str">
        <f t="shared" ref="BU51" si="598">IF(OR(LEFT(AB51,2)="PL",LEFT(AC51,2)="PL",LEFT(AD51,2)="PL",LEFT(AE51,2)="PL",LEFT(AF51,2)="PL"),IF($AS$17-AR51&gt;$BU$17,"X",""),"")</f>
        <v/>
      </c>
      <c r="BV51" s="144"/>
      <c r="BW51" s="135">
        <f t="shared" ref="BW51" si="599">IF(COUNTIF(BY51:CC51,BY51)&gt;1,1,IF(COUNTIF(BY51:CC51,BZ51)&gt;1,2,IF(COUNTIF(BY51:CC51,CA51)&gt;1,3,IF(COUNTIF(BY51:CC51,CB51)&gt;1,4,IF(COUNTIF(BY51:CC51,CC51)&gt;1,5,"")))))</f>
        <v>1</v>
      </c>
      <c r="BX51" s="135">
        <f t="shared" ref="BX51" si="600">IF(COUNTIF(BY51:CC51,CC51)&gt;1,5,IF(COUNTIF(BY51:CC51,CB51)&gt;1,4,IF(COUNTIF(BY51:CC51,CA51)&gt;1,3,IF(COUNTIF(BY51:CC51,BZ51)&gt;1,2,IF(COUNTIF(BY51:CC51,BY51)&gt;1,1,"")))))</f>
        <v>5</v>
      </c>
      <c r="BY51" s="132" t="str">
        <f t="shared" ref="BY51" si="601">IFERROR(IF($E52="H",IF(AB51="",BY$18,IF(ISNUMBER(_xlfn.NUMBERVALUE(LEFT(AB51,1))),MID(AB51,2,2),LEFT(AB51,2))),""),"")</f>
        <v/>
      </c>
      <c r="BZ51" s="132" t="str">
        <f t="shared" ref="BZ51" si="602">IFERROR(IF($E52="H",IF(AC51="",BZ$18,IF(ISNUMBER(_xlfn.NUMBERVALUE(LEFT(AC51,1))),MID(AC51,2,2),LEFT(AC51,2))),""),"")</f>
        <v/>
      </c>
      <c r="CA51" s="132" t="str">
        <f t="shared" ref="CA51" si="603">IFERROR(IF($E52="H",IF(AD51="",CA$18,IF(ISNUMBER(_xlfn.NUMBERVALUE(LEFT(AD51,1))),MID(AD51,2,2),LEFT(AD51,2))),""),"")</f>
        <v/>
      </c>
      <c r="CB51" s="132" t="str">
        <f t="shared" ref="CB51" si="604">IFERROR(IF($E52="H",IF(AE51="",CB$18,IF(ISNUMBER(_xlfn.NUMBERVALUE(LEFT(AE51,1))),MID(AE51,2,2),LEFT(AE51,2))),""),"")</f>
        <v/>
      </c>
      <c r="CC51" s="132" t="str">
        <f t="shared" ref="CC51" si="605">IFERROR(IF($E52="H",IF(AF51="",CC$18,IF(ISNUMBER(_xlfn.NUMBERVALUE(LEFT(AF51,1))),MID(AF51,2,2),LEFT(AF51,2))),""),"")</f>
        <v/>
      </c>
      <c r="CE51" s="135" t="str">
        <f t="shared" ref="CE51" si="606">IF(E52=3,_xlfn.NUMBERVALUE(LEFT(J51,1)),"")</f>
        <v/>
      </c>
    </row>
    <row r="52" spans="1:83" x14ac:dyDescent="0.25">
      <c r="A52" s="42"/>
      <c r="B52" s="43"/>
      <c r="C52" s="43"/>
      <c r="D52" s="43"/>
      <c r="E52" s="21" t="str">
        <f t="shared" ref="E52" si="607">IF(F51="Acrobatic","PA",IF(F51="Acrobatic Airborn","A",IF(F51="Acrobatic Balance","B",IF(F51="Acrobatic Combined","C",IF(F51="Acrobatic Platform","P",IF(F51="Technical Required Element",3,IF(LEFT(F51,4)="Hybr","H","")))))))</f>
        <v/>
      </c>
      <c r="F52" s="21" t="str">
        <f>IF(OR(F51="Acrobatic Airborn",F51="Acrobatic Balance",F51="Acrobatic Combined",F51="Acrobatic Platform"),"Acrobatic",IF(AND(F51="Hybrid - Thrust",AU51="X"),"Hybrid - Thrust - X",IF(AND(F51="Hybrid - 720",AU51="X"),"Hybrid - 720 - X","")))</f>
        <v/>
      </c>
      <c r="G52" s="45"/>
      <c r="H52" s="68" t="str">
        <f t="shared" si="2"/>
        <v/>
      </c>
      <c r="I52" s="69"/>
      <c r="J52" s="16">
        <f>IFERROR(IF($E52="",0,IF(AND($E52="H",$F$8&lt;&gt;"Acrobatic"),VLOOKUP(J51,HybridDDX,2,FALSE),IF($E52="PA",VLOOKUP(J51,AcroPairDDX,2,FALSE),IF(OR($E52="A",$E52="B",$E52="C",$E52="P"),0,IF($E52=3,VLOOKUP(J51,TreDDX,2,FALSE),0))))),0)</f>
        <v>0</v>
      </c>
      <c r="K52" s="16">
        <f>IFERROR(IF($E52="",0,IF(AND($E52="H",$F$8&lt;&gt;"Acrobatic"),VLOOKUP(K51,HybridDDX,2,FALSE),IF($E52="PA",0,IF($E52="A",SUMPRODUCT(--EXACT(K51,AcroADD2),AcroADD2X),IF($E52="B",SUMPRODUCT(--EXACT(K51,AcroBDD2),AcroBDD2X),IF($E52="C",SUMPRODUCT(--EXACT(K51,AcroCDD2),AcroCDD2X),IF($E52="P",SUMPRODUCT(--EXACT(K51,AcroPDD2),AcroPDD2X),IF($E52=3,0,0)))))))),0)</f>
        <v>0</v>
      </c>
      <c r="L52" s="16">
        <f t="array" ref="L52">IFERROR(IF($E52="",0,IF(AND($E52="H",$F$8&lt;&gt;"Acrobatic"),VLOOKUP(L51,HybridDDX,2,FALSE),IF($E52="PA",0,IF($E52="A",SUMPRODUCT(--EXACT(L51,AcroADD3),AcroADD3X),IF($E52="B",SUMPRODUCT(--EXACT(CONCATENATE(LEN(L51),L51),AcroBDD3W),AcroBDD3X),IF($E52="C",SUMPRODUCT(--EXACT(L51,AcroCDD3),AcroCDD3X),IF($E52="P",SUMPRODUCT(--EXACT(L51,AcroPDD3),AcroPDD3X),IF($E52=3,0,0)))))))),0)</f>
        <v>0</v>
      </c>
      <c r="M52" s="16">
        <f>IFERROR(IF($E52="",0,IF(AND($E52="H",$F$8&lt;&gt;"Acrobatic"),VLOOKUP(M51,HybridDDX,2,FALSE),IF($E52="PA",0,IF($E52="A",SUMPRODUCT(--EXACT(M51,AcroADD4p1),AcroADD4p1X),IF($E52="B",SUMPRODUCT(--EXACT(M51,AcroBDD4p1),AcroBDD4p1X),IF($E52="C",SUMPRODUCT(--EXACT(M51,AcroCDD4p1),AcroCDD4p1X),IF($E52="P",SUMPRODUCT(--EXACT(M51,AcroPDD4p1),AcroPDD4p1X),IF($E52=3,0,0)))))))),0)</f>
        <v>0</v>
      </c>
      <c r="N52" s="16">
        <f>IFERROR(IF($E52="",0,IF(AND($E52="H",$F$8&lt;&gt;"Acrobatic"),VLOOKUP(N51,HybridDDX,2,FALSE),IF($E52="PA",0,IF($E52="A",SUMPRODUCT(--EXACT(N51,AcroADD4p2),AcroADD4p2X),IF($E52="B",SUMPRODUCT(--EXACT(N51,AcroBDD4p2),AcroBDD4p2X),IF($E52="C",SUMPRODUCT(--EXACT(N51,AcroCDD4p2),AcroCDD4p2X),IF($E52="P",SUMPRODUCT(--EXACT(N51,AcroPDD4p2),AcroPDD4p2X),IF($E52=3,0,0)))))))),0)</f>
        <v>0</v>
      </c>
      <c r="O52" s="16">
        <f>IFERROR(IF($E52="",0,IF(AND($E52="H",$F$8&lt;&gt;"Acrobatic"),VLOOKUP(O51,HybridDDX,2,FALSE),IF($E52="PA",0,IF($E52="A",SUMPRODUCT(--EXACT(O51,AcroADD5),AcroADD5X),IF($E52="B",SUMPRODUCT(--EXACT(O51,AcroBDD5),AcroBDD5X),IF($E52="C",SUMPRODUCT(--EXACT(O51,AcroCDD5),AcroCDD5X),IF($E52="P",SUMPRODUCT(--EXACT(O51,AcroPDD5),AcroPDD5X),IF($E52=3,0,0)))))))),0)</f>
        <v>0</v>
      </c>
      <c r="P52" s="16">
        <f>IFERROR(IF($E52="",0,IF(AND($E52="H",$F$8&lt;&gt;"Acrobatic"),VLOOKUP(P51,HybridDDX,2,FALSE),IF($E52="C",SUMPRODUCT(--EXACT(P51,AcroCDD6),AcroCDD6X),0))),0)</f>
        <v>0</v>
      </c>
      <c r="Q52" s="16">
        <f t="shared" ref="Q52:AA52" si="608">IFERROR(IF($E52="",0,IF(AND($E52="H",$F$8&lt;&gt;"Acrobatic"),VLOOKUP(Q51,HybridDDX,2,FALSE),0)),0)</f>
        <v>0</v>
      </c>
      <c r="R52" s="16">
        <f t="shared" si="608"/>
        <v>0</v>
      </c>
      <c r="S52" s="16">
        <f t="shared" si="608"/>
        <v>0</v>
      </c>
      <c r="T52" s="16">
        <f t="shared" si="608"/>
        <v>0</v>
      </c>
      <c r="U52" s="16">
        <f t="shared" si="608"/>
        <v>0</v>
      </c>
      <c r="V52" s="16">
        <f t="shared" si="608"/>
        <v>0</v>
      </c>
      <c r="W52" s="16">
        <f t="shared" si="608"/>
        <v>0</v>
      </c>
      <c r="X52" s="16">
        <f t="shared" si="608"/>
        <v>0</v>
      </c>
      <c r="Y52" s="16">
        <f t="shared" si="608"/>
        <v>0</v>
      </c>
      <c r="Z52" s="16">
        <f t="shared" si="608"/>
        <v>0</v>
      </c>
      <c r="AA52" s="16">
        <f t="shared" si="608"/>
        <v>0</v>
      </c>
      <c r="AB52" s="28">
        <f>IFERROR(IF($E52="",0,IF(AND($E52="H",$F$8&lt;&gt;"Acrobatic"),VLOOKUP(AB51,BonusDDX,2,FALSE),IF($E52="A",VLOOKUP(AB51,AcroABonusX,2,FALSE),IF($E52="B",VLOOKUP(AB51,AcroBBonusX,2,FALSE),IF($E52="C",VLOOKUP(AB51,AcroCBonusX,2,FALSE),IF($E52="P",VLOOKUP(AB51,AcroPBonusX,2,FALSE),0)))))),0)</f>
        <v>0</v>
      </c>
      <c r="AC52" s="16">
        <f>IFERROR(IF($E52="",0,IF(AND($E52="H",$F$8&lt;&gt;"Acrobatic"),VLOOKUP(AC51,BonusDDX,2,FALSE),IF($E52="A",VLOOKUP(AC51,AcroABonusX,2,FALSE),IF($E52="B",VLOOKUP(AC51,AcroBBonusX,2,FALSE),IF($E52="C",VLOOKUP(AC51,AcroCBonusX,2,FALSE),IF($E52="P",VLOOKUP(AC51,AcroPBonusX,2,FALSE),0)))))),0)</f>
        <v>0</v>
      </c>
      <c r="AD52" s="16">
        <f>IFERROR(IF($E52="",0,IF(AND($E52="H",$F$8&lt;&gt;"Acrobatic"),VLOOKUP(AD51,BonusDDX,2,FALSE),0)),0)</f>
        <v>0</v>
      </c>
      <c r="AE52" s="16">
        <f>IFERROR(IF($E52="",0,IF(AND($E52="H",$F$8&lt;&gt;"Acrobatic"),VLOOKUP(AE51,BonusDDX,2,FALSE),0)),0)</f>
        <v>0</v>
      </c>
      <c r="AF52" s="46">
        <f>IFERROR(IF($E52="",0,IF(AND($E52="H",$F$8&lt;&gt;"Acrobatic"),VLOOKUP(AF51,BonusDDX,2,FALSE),0)),0)</f>
        <v>0</v>
      </c>
      <c r="AG52" s="71">
        <f t="shared" ref="AG52" si="609">SUM(H52:AF52)</f>
        <v>0</v>
      </c>
      <c r="AH52" s="98"/>
      <c r="AI52" s="98"/>
      <c r="AJ52" s="145"/>
      <c r="AK52" s="145"/>
      <c r="AL52" s="145"/>
      <c r="AM52" s="145"/>
      <c r="AN52" s="145"/>
      <c r="AO52" s="145"/>
      <c r="AP52" s="145"/>
      <c r="AQ52" s="145"/>
      <c r="AR52" s="146" t="str">
        <f>IFERROR(IF($N$7="X",IF(AND(E52="C",AG52&gt;2.45),"X",IF(AND(E52="A",AG52&gt;2.65),"X",IF(AND(E52="B",AG52&gt;2.6),"X",IF(AND(E52="P",AG52&gt;2.5),"X","")))),""),"")</f>
        <v/>
      </c>
      <c r="AS52" s="138"/>
      <c r="AU52" s="132"/>
    </row>
    <row r="53" spans="1:83" x14ac:dyDescent="0.25">
      <c r="A53" s="42" t="str">
        <f t="shared" ref="A53" si="610">IF(AND(E51="",A51&lt;&gt;""),IF(AS51=$AS$18,"",IF(C51&lt;&gt;"",IF(D51=59,MINUTE(AS51)+1,MINUTE(AS51)),"")),"")</f>
        <v/>
      </c>
      <c r="B53" s="43" t="str">
        <f t="shared" ref="B53" si="611">IF(AND(E51="",B51&lt;&gt;""),IF(AS51=$AS$18,"",IF(C51&lt;&gt;"",IF(D51=59,0,SECOND(AS51)+1),"")),"")</f>
        <v/>
      </c>
      <c r="C53" s="54"/>
      <c r="D53" s="54"/>
      <c r="E53" s="9"/>
      <c r="F53" s="55"/>
      <c r="G53" s="45" t="str">
        <f>IF(F53&lt;&gt;"",IF(OR(F53="Transition",F53="Connected Surface Movment",F53="Cadense"),0,MAX($G$19:G52)+1),"")</f>
        <v/>
      </c>
      <c r="H53" s="68" t="str">
        <f t="shared" ref="H53" si="612">IF(E54=3,"",IF(E54="H","BM",IF(E54="PA",IF(OR(LEFT(J53,1)="L",LEFT(J53,1)="S"),"A-Pair-Lift",IF(OR(LEFT(J53,1)="W",LEFT(J53,1)="T"),"A-Pair-Throw",IF(LEFT(J53,1)="J","A-Pair-Jump","A-Pair"))),IF(OR(E54="A",E54="B",E54="C",E54="P"),CONCATENATE("Acro-",J53),""))))</f>
        <v/>
      </c>
      <c r="I53" s="69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6"/>
      <c r="AC53" s="161"/>
      <c r="AD53" s="161"/>
      <c r="AE53" s="161"/>
      <c r="AF53" s="167"/>
      <c r="AG53" s="47"/>
      <c r="AH53" s="97"/>
      <c r="AI53" s="97"/>
      <c r="AJ53" s="134"/>
      <c r="AK53" s="134"/>
      <c r="AL53" s="134"/>
      <c r="AM53" s="134"/>
      <c r="AN53" s="134"/>
      <c r="AO53" s="134"/>
      <c r="AP53" s="134"/>
      <c r="AQ53" s="134"/>
      <c r="AR53" s="137" t="str">
        <f>IFERROR(TIME(0,A53,B53),"")</f>
        <v/>
      </c>
      <c r="AS53" s="138">
        <f>IFERROR(TIME(0,C53,D53),"")</f>
        <v>0</v>
      </c>
      <c r="AU53" s="132" t="str">
        <f>IF(AND(F53="Hybrid - Thrust",OR(LEFT(J53,1)="T",LEFT(K53,1)="T",LEFT(L53,1)="T",LEFT(JX53,1)="T",LEFT(M53,1)="T",LEFT(N53,1)="T",LEFT(O53,1)="T",LEFT(P53,1)="T",LEFT(Q53,1)="T",LEFT(R53,1)="T",LEFT(S53,1)="T",LEFT(T53,1)="T",LEFT(U53,1)="T",LEFT(V53,1)="T",LEFT(W53,1)="T",LEFT(X53,1)="T",LEFT(Y53,1)="T",LEFT(Z53,1)="T",LEFT(AA53,1)="T")),IF(OR(LEN(J53)=2,LEN(K53)=2,LEN(L53)=2,LEN(M53)=2,LEN(N53)=2,LEN(O53)=2,LEN(P53)=2,LEN(Q53)=2,LEN(R53)=2,LEN(S53)=2,LEN(T53)=2,LEN(U53)=2,LEN(V53)=2,LEN(W53)=2,LEN(X53)=2,LEN(Y53)=2,LEN(Z53)=2,LEN(AA53)=2),"X",""),IF(AND(F53="Hybrid - 720",OR(J53="R3",K53="R3",L53="R3",M53="R3",N53="R3",O53="R3",P53="R3",Q53="R3",R53="R3",S53="R3",T53="R3",U53="R3",V53="R3",W53="R3",X53="R3",Y53="R3",Z53="R3",AA53="R3")),"X",""))</f>
        <v/>
      </c>
      <c r="AV53" s="135" t="str">
        <f>IF(F53="Hybrid",SECOND(AS53),"")</f>
        <v/>
      </c>
      <c r="AW53" s="135">
        <f t="shared" ref="AW53" si="613">COUNTIF(BB53:BS53,"=T1")+COUNTIF(BB53:BS53,"=T2")+COUNTIF(BB53:BS53,"=T3")+COUNTIF(BB53:BS53,"=T4")</f>
        <v>0</v>
      </c>
      <c r="AX53" s="135">
        <f t="shared" ref="AX53" si="614">COUNTIF(BB53:BS53,"=r1")+COUNTIF(BB53:BS53,"=r2")+COUNTIF(BB53:BS53,"=r3")+COUNTIF(BB53:BS53,"=r4")</f>
        <v>0</v>
      </c>
      <c r="AY53" s="135">
        <f t="shared" ref="AY53" si="615">COUNTIF(BB53:BS53,"=A")</f>
        <v>0</v>
      </c>
      <c r="AZ53" s="135">
        <f t="shared" ref="AZ53" si="616">COUNTIF(BB53:BS53,"=F")</f>
        <v>0</v>
      </c>
      <c r="BA53" s="135">
        <f t="shared" ref="BA53" si="617">COUNTIF(BB53:BS53,"=C")</f>
        <v>0</v>
      </c>
      <c r="BB53" s="132" t="str">
        <f t="shared" ref="BB53" si="618">IF($E54="H",IF(OR(LEFT(J53,1)="T",LEFT(J53,1)="R"),LEFT(J53,2),LEFT(J53,1)),"")</f>
        <v/>
      </c>
      <c r="BC53" s="132" t="str">
        <f t="shared" ref="BC53" si="619">IF($E54="H",IF(OR(LEFT(K53,1)="T",LEFT(K53,1)="R"),LEFT(K53,2),LEFT(K53,1)),"")</f>
        <v/>
      </c>
      <c r="BD53" s="132" t="str">
        <f t="shared" ref="BD53" si="620">IF($E54="H",IF(OR(LEFT(L53,1)="T",LEFT(L53,1)="R"),LEFT(L53,2),LEFT(L53,1)),"")</f>
        <v/>
      </c>
      <c r="BE53" s="132" t="str">
        <f t="shared" ref="BE53" si="621">IF($E54="H",IF(OR(LEFT(M53,1)="T",LEFT(M53,1)="R"),LEFT(M53,2),LEFT(M53,1)),"")</f>
        <v/>
      </c>
      <c r="BF53" s="132" t="str">
        <f t="shared" ref="BF53" si="622">IF($E54="H",IF(OR(LEFT(N53,1)="T",LEFT(N53,1)="R"),LEFT(N53,2),LEFT(N53,1)),"")</f>
        <v/>
      </c>
      <c r="BG53" s="132" t="str">
        <f t="shared" ref="BG53" si="623">IF($E54="H",IF(OR(LEFT(O53,1)="T",LEFT(O53,1)="R"),LEFT(O53,2),LEFT(O53,1)),"")</f>
        <v/>
      </c>
      <c r="BH53" s="132" t="str">
        <f t="shared" ref="BH53" si="624">IF($E54="H",IF(OR(LEFT(P53,1)="T",LEFT(P53,1)="R"),LEFT(P53,2),LEFT(P53,1)),"")</f>
        <v/>
      </c>
      <c r="BI53" s="132" t="str">
        <f t="shared" ref="BI53" si="625">IF($E54="H",IF(OR(LEFT(Q53,1)="T",LEFT(Q53,1)="R"),LEFT(Q53,2),LEFT(Q53,1)),"")</f>
        <v/>
      </c>
      <c r="BJ53" s="132" t="str">
        <f t="shared" ref="BJ53" si="626">IF($E54="H",IF(OR(LEFT(R53,1)="T",LEFT(R53,1)="R"),LEFT(R53,2),LEFT(R53,1)),"")</f>
        <v/>
      </c>
      <c r="BK53" s="132" t="str">
        <f t="shared" ref="BK53" si="627">IF($E54="H",IF(OR(LEFT(S53,1)="T",LEFT(S53,1)="R"),LEFT(S53,2),LEFT(S53,1)),"")</f>
        <v/>
      </c>
      <c r="BL53" s="132" t="str">
        <f t="shared" ref="BL53" si="628">IF($E54="H",IF(OR(LEFT(T53,1)="T",LEFT(T53,1)="R"),LEFT(T53,2),LEFT(T53,1)),"")</f>
        <v/>
      </c>
      <c r="BM53" s="132" t="str">
        <f t="shared" ref="BM53" si="629">IF($E54="H",IF(OR(LEFT(U53,1)="T",LEFT(U53,1)="R"),LEFT(U53,2),LEFT(U53,1)),"")</f>
        <v/>
      </c>
      <c r="BN53" s="132" t="str">
        <f t="shared" ref="BN53" si="630">IF($E54="H",IF(OR(LEFT(V53,1)="T",LEFT(V53,1)="R"),LEFT(V53,2),LEFT(V53,1)),"")</f>
        <v/>
      </c>
      <c r="BO53" s="132" t="str">
        <f t="shared" ref="BO53" si="631">IF($E54="H",IF(OR(LEFT(W53,1)="T",LEFT(W53,1)="R"),LEFT(W53,2),LEFT(W53,1)),"")</f>
        <v/>
      </c>
      <c r="BP53" s="132" t="str">
        <f t="shared" ref="BP53" si="632">IF($E54="H",IF(OR(LEFT(X53,1)="T",LEFT(X53,1)="R"),LEFT(X53,2),LEFT(X53,1)),"")</f>
        <v/>
      </c>
      <c r="BQ53" s="132" t="str">
        <f t="shared" ref="BQ53" si="633">IF($E54="H",IF(OR(LEFT(Y53,1)="T",LEFT(Y53,1)="R"),LEFT(Y53,2),LEFT(Y53,1)),"")</f>
        <v/>
      </c>
      <c r="BR53" s="132" t="str">
        <f t="shared" ref="BR53" si="634">IF($E54="H",IF(OR(LEFT(Z53,1)="T",LEFT(Z53,1)="R"),LEFT(Z53,2),LEFT(Z53,1)),"")</f>
        <v/>
      </c>
      <c r="BS53" s="132" t="str">
        <f t="shared" ref="BS53" si="635">IF($E54="H",IF(OR(LEFT(AA53,1)="T",LEFT(AA53,1)="R"),LEFT(AA53,2),LEFT(AA53,1)),"")</f>
        <v/>
      </c>
      <c r="BU53" s="144" t="str">
        <f t="shared" ref="BU53" si="636">IF(OR(LEFT(AB53,2)="PL",LEFT(AC53,2)="PL",LEFT(AD53,2)="PL",LEFT(AE53,2)="PL",LEFT(AF53,2)="PL"),IF($AS$17-AR53&gt;$BU$17,"X",""),"")</f>
        <v/>
      </c>
      <c r="BV53" s="144"/>
      <c r="BW53" s="135">
        <f t="shared" ref="BW53" si="637">IF(COUNTIF(BY53:CC53,BY53)&gt;1,1,IF(COUNTIF(BY53:CC53,BZ53)&gt;1,2,IF(COUNTIF(BY53:CC53,CA53)&gt;1,3,IF(COUNTIF(BY53:CC53,CB53)&gt;1,4,IF(COUNTIF(BY53:CC53,CC53)&gt;1,5,"")))))</f>
        <v>1</v>
      </c>
      <c r="BX53" s="135">
        <f t="shared" ref="BX53" si="638">IF(COUNTIF(BY53:CC53,CC53)&gt;1,5,IF(COUNTIF(BY53:CC53,CB53)&gt;1,4,IF(COUNTIF(BY53:CC53,CA53)&gt;1,3,IF(COUNTIF(BY53:CC53,BZ53)&gt;1,2,IF(COUNTIF(BY53:CC53,BY53)&gt;1,1,"")))))</f>
        <v>5</v>
      </c>
      <c r="BY53" s="132" t="str">
        <f t="shared" ref="BY53" si="639">IFERROR(IF($E54="H",IF(AB53="",BY$18,IF(ISNUMBER(_xlfn.NUMBERVALUE(LEFT(AB53,1))),MID(AB53,2,2),LEFT(AB53,2))),""),"")</f>
        <v/>
      </c>
      <c r="BZ53" s="132" t="str">
        <f t="shared" ref="BZ53" si="640">IFERROR(IF($E54="H",IF(AC53="",BZ$18,IF(ISNUMBER(_xlfn.NUMBERVALUE(LEFT(AC53,1))),MID(AC53,2,2),LEFT(AC53,2))),""),"")</f>
        <v/>
      </c>
      <c r="CA53" s="132" t="str">
        <f t="shared" ref="CA53" si="641">IFERROR(IF($E54="H",IF(AD53="",CA$18,IF(ISNUMBER(_xlfn.NUMBERVALUE(LEFT(AD53,1))),MID(AD53,2,2),LEFT(AD53,2))),""),"")</f>
        <v/>
      </c>
      <c r="CB53" s="132" t="str">
        <f t="shared" ref="CB53" si="642">IFERROR(IF($E54="H",IF(AE53="",CB$18,IF(ISNUMBER(_xlfn.NUMBERVALUE(LEFT(AE53,1))),MID(AE53,2,2),LEFT(AE53,2))),""),"")</f>
        <v/>
      </c>
      <c r="CC53" s="132" t="str">
        <f t="shared" ref="CC53" si="643">IFERROR(IF($E54="H",IF(AF53="",CC$18,IF(ISNUMBER(_xlfn.NUMBERVALUE(LEFT(AF53,1))),MID(AF53,2,2),LEFT(AF53,2))),""),"")</f>
        <v/>
      </c>
      <c r="CE53" s="135" t="str">
        <f t="shared" ref="CE53" si="644">IF(E54=3,_xlfn.NUMBERVALUE(LEFT(J53,1)),"")</f>
        <v/>
      </c>
    </row>
    <row r="54" spans="1:83" x14ac:dyDescent="0.25">
      <c r="A54" s="42"/>
      <c r="B54" s="43"/>
      <c r="C54" s="43"/>
      <c r="D54" s="43"/>
      <c r="E54" s="21" t="str">
        <f t="shared" ref="E54" si="645">IF(F53="Acrobatic","PA",IF(F53="Acrobatic Airborn","A",IF(F53="Acrobatic Balance","B",IF(F53="Acrobatic Combined","C",IF(F53="Acrobatic Platform","P",IF(F53="Technical Required Element",3,IF(LEFT(F53,4)="Hybr","H","")))))))</f>
        <v/>
      </c>
      <c r="F54" s="21" t="str">
        <f>IF(OR(F53="Acrobatic Airborn",F53="Acrobatic Balance",F53="Acrobatic Combined",F53="Acrobatic Platform"),"Acrobatic",IF(AND(F53="Hybrid - Thrust",AU53="X"),"Hybrid - Thrust - X",IF(AND(F53="Hybrid - 720",AU53="X"),"Hybrid - 720 - X","")))</f>
        <v/>
      </c>
      <c r="G54" s="45"/>
      <c r="H54" s="68" t="str">
        <f t="shared" si="2"/>
        <v/>
      </c>
      <c r="I54" s="69"/>
      <c r="J54" s="16">
        <f>IFERROR(IF($E54="",0,IF(AND($E54="H",$F$8&lt;&gt;"Acrobatic"),VLOOKUP(J53,HybridDDX,2,FALSE),IF($E54="PA",VLOOKUP(J53,AcroPairDDX,2,FALSE),IF(OR($E54="A",$E54="B",$E54="C",$E54="P"),0,IF($E54=3,VLOOKUP(J53,TreDDX,2,FALSE),0))))),0)</f>
        <v>0</v>
      </c>
      <c r="K54" s="16">
        <f>IFERROR(IF($E54="",0,IF(AND($E54="H",$F$8&lt;&gt;"Acrobatic"),VLOOKUP(K53,HybridDDX,2,FALSE),IF($E54="PA",0,IF($E54="A",SUMPRODUCT(--EXACT(K53,AcroADD2),AcroADD2X),IF($E54="B",SUMPRODUCT(--EXACT(K53,AcroBDD2),AcroBDD2X),IF($E54="C",SUMPRODUCT(--EXACT(K53,AcroCDD2),AcroCDD2X),IF($E54="P",SUMPRODUCT(--EXACT(K53,AcroPDD2),AcroPDD2X),IF($E54=3,0,0)))))))),0)</f>
        <v>0</v>
      </c>
      <c r="L54" s="16">
        <f t="array" ref="L54">IFERROR(IF($E54="",0,IF(AND($E54="H",$F$8&lt;&gt;"Acrobatic"),VLOOKUP(L53,HybridDDX,2,FALSE),IF($E54="PA",0,IF($E54="A",SUMPRODUCT(--EXACT(L53,AcroADD3),AcroADD3X),IF($E54="B",SUMPRODUCT(--EXACT(CONCATENATE(LEN(L53),L53),AcroBDD3W),AcroBDD3X),IF($E54="C",SUMPRODUCT(--EXACT(L53,AcroCDD3),AcroCDD3X),IF($E54="P",SUMPRODUCT(--EXACT(L53,AcroPDD3),AcroPDD3X),IF($E54=3,0,0)))))))),0)</f>
        <v>0</v>
      </c>
      <c r="M54" s="16">
        <f>IFERROR(IF($E54="",0,IF(AND($E54="H",$F$8&lt;&gt;"Acrobatic"),VLOOKUP(M53,HybridDDX,2,FALSE),IF($E54="PA",0,IF($E54="A",SUMPRODUCT(--EXACT(M53,AcroADD4p1),AcroADD4p1X),IF($E54="B",SUMPRODUCT(--EXACT(M53,AcroBDD4p1),AcroBDD4p1X),IF($E54="C",SUMPRODUCT(--EXACT(M53,AcroCDD4p1),AcroCDD4p1X),IF($E54="P",SUMPRODUCT(--EXACT(M53,AcroPDD4p1),AcroPDD4p1X),IF($E54=3,0,0)))))))),0)</f>
        <v>0</v>
      </c>
      <c r="N54" s="16">
        <f>IFERROR(IF($E54="",0,IF(AND($E54="H",$F$8&lt;&gt;"Acrobatic"),VLOOKUP(N53,HybridDDX,2,FALSE),IF($E54="PA",0,IF($E54="A",SUMPRODUCT(--EXACT(N53,AcroADD4p2),AcroADD4p2X),IF($E54="B",SUMPRODUCT(--EXACT(N53,AcroBDD4p2),AcroBDD4p2X),IF($E54="C",SUMPRODUCT(--EXACT(N53,AcroCDD4p2),AcroCDD4p2X),IF($E54="P",SUMPRODUCT(--EXACT(N53,AcroPDD4p2),AcroPDD4p2X),IF($E54=3,0,0)))))))),0)</f>
        <v>0</v>
      </c>
      <c r="O54" s="16">
        <f>IFERROR(IF($E54="",0,IF(AND($E54="H",$F$8&lt;&gt;"Acrobatic"),VLOOKUP(O53,HybridDDX,2,FALSE),IF($E54="PA",0,IF($E54="A",SUMPRODUCT(--EXACT(O53,AcroADD5),AcroADD5X),IF($E54="B",SUMPRODUCT(--EXACT(O53,AcroBDD5),AcroBDD5X),IF($E54="C",SUMPRODUCT(--EXACT(O53,AcroCDD5),AcroCDD5X),IF($E54="P",SUMPRODUCT(--EXACT(O53,AcroPDD5),AcroPDD5X),IF($E54=3,0,0)))))))),0)</f>
        <v>0</v>
      </c>
      <c r="P54" s="16">
        <f>IFERROR(IF($E54="",0,IF(AND($E54="H",$F$8&lt;&gt;"Acrobatic"),VLOOKUP(P53,HybridDDX,2,FALSE),IF($E54="C",SUMPRODUCT(--EXACT(P53,AcroCDD6),AcroCDD6X),0))),0)</f>
        <v>0</v>
      </c>
      <c r="Q54" s="16">
        <f t="shared" ref="Q54:AA54" si="646">IFERROR(IF($E54="",0,IF(AND($E54="H",$F$8&lt;&gt;"Acrobatic"),VLOOKUP(Q53,HybridDDX,2,FALSE),0)),0)</f>
        <v>0</v>
      </c>
      <c r="R54" s="16">
        <f t="shared" si="646"/>
        <v>0</v>
      </c>
      <c r="S54" s="16">
        <f t="shared" si="646"/>
        <v>0</v>
      </c>
      <c r="T54" s="16">
        <f t="shared" si="646"/>
        <v>0</v>
      </c>
      <c r="U54" s="16">
        <f t="shared" si="646"/>
        <v>0</v>
      </c>
      <c r="V54" s="16">
        <f t="shared" si="646"/>
        <v>0</v>
      </c>
      <c r="W54" s="16">
        <f t="shared" si="646"/>
        <v>0</v>
      </c>
      <c r="X54" s="16">
        <f t="shared" si="646"/>
        <v>0</v>
      </c>
      <c r="Y54" s="16">
        <f t="shared" si="646"/>
        <v>0</v>
      </c>
      <c r="Z54" s="16">
        <f t="shared" si="646"/>
        <v>0</v>
      </c>
      <c r="AA54" s="16">
        <f t="shared" si="646"/>
        <v>0</v>
      </c>
      <c r="AB54" s="28">
        <f>IFERROR(IF($E54="",0,IF(AND($E54="H",$F$8&lt;&gt;"Acrobatic"),VLOOKUP(AB53,BonusDDX,2,FALSE),IF($E54="A",VLOOKUP(AB53,AcroABonusX,2,FALSE),IF($E54="B",VLOOKUP(AB53,AcroBBonusX,2,FALSE),IF($E54="C",VLOOKUP(AB53,AcroCBonusX,2,FALSE),IF($E54="P",VLOOKUP(AB53,AcroPBonusX,2,FALSE),0)))))),0)</f>
        <v>0</v>
      </c>
      <c r="AC54" s="16">
        <f>IFERROR(IF($E54="",0,IF(AND($E54="H",$F$8&lt;&gt;"Acrobatic"),VLOOKUP(AC53,BonusDDX,2,FALSE),IF($E54="A",VLOOKUP(AC53,AcroABonusX,2,FALSE),IF($E54="B",VLOOKUP(AC53,AcroBBonusX,2,FALSE),IF($E54="C",VLOOKUP(AC53,AcroCBonusX,2,FALSE),IF($E54="P",VLOOKUP(AC53,AcroPBonusX,2,FALSE),0)))))),0)</f>
        <v>0</v>
      </c>
      <c r="AD54" s="16">
        <f>IFERROR(IF($E54="",0,IF(AND($E54="H",$F$8&lt;&gt;"Acrobatic"),VLOOKUP(AD53,BonusDDX,2,FALSE),0)),0)</f>
        <v>0</v>
      </c>
      <c r="AE54" s="16">
        <f>IFERROR(IF($E54="",0,IF(AND($E54="H",$F$8&lt;&gt;"Acrobatic"),VLOOKUP(AE53,BonusDDX,2,FALSE),0)),0)</f>
        <v>0</v>
      </c>
      <c r="AF54" s="46">
        <f>IFERROR(IF($E54="",0,IF(AND($E54="H",$F$8&lt;&gt;"Acrobatic"),VLOOKUP(AF53,BonusDDX,2,FALSE),0)),0)</f>
        <v>0</v>
      </c>
      <c r="AG54" s="71">
        <f t="shared" ref="AG54" si="647">SUM(H54:AF54)</f>
        <v>0</v>
      </c>
      <c r="AH54" s="98"/>
      <c r="AI54" s="98"/>
      <c r="AJ54" s="145"/>
      <c r="AK54" s="145"/>
      <c r="AL54" s="145"/>
      <c r="AM54" s="145"/>
      <c r="AN54" s="145"/>
      <c r="AO54" s="145"/>
      <c r="AP54" s="145"/>
      <c r="AQ54" s="145"/>
      <c r="AR54" s="146" t="str">
        <f>IFERROR(IF($N$7="X",IF(AND(E54="C",AG54&gt;2.45),"X",IF(AND(E54="A",AG54&gt;2.65),"X",IF(AND(E54="B",AG54&gt;2.6),"X",IF(AND(E54="P",AG54&gt;2.5),"X","")))),""),"")</f>
        <v/>
      </c>
      <c r="AS54" s="138"/>
      <c r="AU54" s="132"/>
      <c r="AV54" s="135" t="str">
        <f>IF(F54="Hybrid",SECOND(AS54),"")</f>
        <v/>
      </c>
    </row>
    <row r="55" spans="1:83" x14ac:dyDescent="0.25">
      <c r="A55" s="42" t="str">
        <f t="shared" ref="A55" si="648">IF(AND(E53="",A53&lt;&gt;""),IF(AS53=$AS$18,"",IF(C53&lt;&gt;"",IF(D53=59,MINUTE(AS53)+1,MINUTE(AS53)),"")),"")</f>
        <v/>
      </c>
      <c r="B55" s="43" t="str">
        <f t="shared" ref="B55" si="649">IF(AND(E53="",B53&lt;&gt;""),IF(AS53=$AS$18,"",IF(C53&lt;&gt;"",IF(D53=59,0,SECOND(AS53)+1),"")),"")</f>
        <v/>
      </c>
      <c r="C55" s="54"/>
      <c r="D55" s="54"/>
      <c r="E55" s="9"/>
      <c r="F55" s="55"/>
      <c r="G55" s="45" t="str">
        <f>IF(F55&lt;&gt;"",IF(OR(F55="Transition",F55="Connected Surface Movment",F55="Cadense"),0,MAX($G$19:G54)+1),"")</f>
        <v/>
      </c>
      <c r="H55" s="68" t="str">
        <f t="shared" ref="H55" si="650">IF(E56=3,"",IF(E56="H","BM",IF(E56="PA",IF(OR(LEFT(J55,1)="L",LEFT(J55,1)="S"),"A-Pair-Lift",IF(OR(LEFT(J55,1)="W",LEFT(J55,1)="T"),"A-Pair-Throw",IF(LEFT(J55,1)="J","A-Pair-Jump","A-Pair"))),IF(OR(E56="A",E56="B",E56="C",E56="P"),CONCATENATE("Acro-",J55),""))))</f>
        <v/>
      </c>
      <c r="I55" s="69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6"/>
      <c r="AC55" s="161"/>
      <c r="AD55" s="161"/>
      <c r="AE55" s="161"/>
      <c r="AF55" s="167"/>
      <c r="AG55" s="47"/>
      <c r="AH55" s="97"/>
      <c r="AI55" s="97"/>
      <c r="AJ55" s="134"/>
      <c r="AK55" s="134"/>
      <c r="AL55" s="134"/>
      <c r="AM55" s="134"/>
      <c r="AN55" s="134"/>
      <c r="AO55" s="134"/>
      <c r="AP55" s="134"/>
      <c r="AQ55" s="134"/>
      <c r="AR55" s="137" t="str">
        <f>IFERROR(TIME(0,A55,B55),"")</f>
        <v/>
      </c>
      <c r="AS55" s="138">
        <f>IFERROR(TIME(0,C55,D55),"")</f>
        <v>0</v>
      </c>
      <c r="AU55" s="132" t="str">
        <f>IF(AND(F55="Hybrid - Thrust",OR(LEFT(J55,1)="T",LEFT(K55,1)="T",LEFT(L55,1)="T",LEFT(JX55,1)="T",LEFT(M55,1)="T",LEFT(N55,1)="T",LEFT(O55,1)="T",LEFT(P55,1)="T",LEFT(Q55,1)="T",LEFT(R55,1)="T",LEFT(S55,1)="T",LEFT(T55,1)="T",LEFT(U55,1)="T",LEFT(V55,1)="T",LEFT(W55,1)="T",LEFT(X55,1)="T",LEFT(Y55,1)="T",LEFT(Z55,1)="T",LEFT(AA55,1)="T")),IF(OR(LEN(J55)=2,LEN(K55)=2,LEN(L55)=2,LEN(M55)=2,LEN(N55)=2,LEN(O55)=2,LEN(P55)=2,LEN(Q55)=2,LEN(R55)=2,LEN(S55)=2,LEN(T55)=2,LEN(U55)=2,LEN(V55)=2,LEN(W55)=2,LEN(X55)=2,LEN(Y55)=2,LEN(Z55)=2,LEN(AA55)=2),"X",""),IF(AND(F55="Hybrid - 720",OR(J55="R3",K55="R3",L55="R3",M55="R3",N55="R3",O55="R3",P55="R3",Q55="R3",R55="R3",S55="R3",T55="R3",U55="R3",V55="R3",W55="R3",X55="R3",Y55="R3",Z55="R3",AA55="R3")),"X",""))</f>
        <v/>
      </c>
      <c r="AV55" s="135" t="str">
        <f>IF(F55="Hybrid",SECOND(AS55),"")</f>
        <v/>
      </c>
      <c r="AW55" s="135">
        <f t="shared" ref="AW55" si="651">COUNTIF(BB55:BS55,"=T1")+COUNTIF(BB55:BS55,"=T2")+COUNTIF(BB55:BS55,"=T3")+COUNTIF(BB55:BS55,"=T4")</f>
        <v>0</v>
      </c>
      <c r="AX55" s="135">
        <f t="shared" ref="AX55" si="652">COUNTIF(BB55:BS55,"=r1")+COUNTIF(BB55:BS55,"=r2")+COUNTIF(BB55:BS55,"=r3")+COUNTIF(BB55:BS55,"=r4")</f>
        <v>0</v>
      </c>
      <c r="AY55" s="135">
        <f t="shared" ref="AY55" si="653">COUNTIF(BB55:BS55,"=A")</f>
        <v>0</v>
      </c>
      <c r="AZ55" s="135">
        <f t="shared" ref="AZ55" si="654">COUNTIF(BB55:BS55,"=F")</f>
        <v>0</v>
      </c>
      <c r="BA55" s="135">
        <f t="shared" ref="BA55" si="655">COUNTIF(BB55:BS55,"=C")</f>
        <v>0</v>
      </c>
      <c r="BB55" s="132" t="str">
        <f t="shared" ref="BB55" si="656">IF($E56="H",IF(OR(LEFT(J55,1)="T",LEFT(J55,1)="R"),LEFT(J55,2),LEFT(J55,1)),"")</f>
        <v/>
      </c>
      <c r="BC55" s="132" t="str">
        <f t="shared" ref="BC55" si="657">IF($E56="H",IF(OR(LEFT(K55,1)="T",LEFT(K55,1)="R"),LEFT(K55,2),LEFT(K55,1)),"")</f>
        <v/>
      </c>
      <c r="BD55" s="132" t="str">
        <f t="shared" ref="BD55" si="658">IF($E56="H",IF(OR(LEFT(L55,1)="T",LEFT(L55,1)="R"),LEFT(L55,2),LEFT(L55,1)),"")</f>
        <v/>
      </c>
      <c r="BE55" s="132" t="str">
        <f t="shared" ref="BE55" si="659">IF($E56="H",IF(OR(LEFT(M55,1)="T",LEFT(M55,1)="R"),LEFT(M55,2),LEFT(M55,1)),"")</f>
        <v/>
      </c>
      <c r="BF55" s="132" t="str">
        <f t="shared" ref="BF55" si="660">IF($E56="H",IF(OR(LEFT(N55,1)="T",LEFT(N55,1)="R"),LEFT(N55,2),LEFT(N55,1)),"")</f>
        <v/>
      </c>
      <c r="BG55" s="132" t="str">
        <f t="shared" ref="BG55" si="661">IF($E56="H",IF(OR(LEFT(O55,1)="T",LEFT(O55,1)="R"),LEFT(O55,2),LEFT(O55,1)),"")</f>
        <v/>
      </c>
      <c r="BH55" s="132" t="str">
        <f t="shared" ref="BH55" si="662">IF($E56="H",IF(OR(LEFT(P55,1)="T",LEFT(P55,1)="R"),LEFT(P55,2),LEFT(P55,1)),"")</f>
        <v/>
      </c>
      <c r="BI55" s="132" t="str">
        <f t="shared" ref="BI55" si="663">IF($E56="H",IF(OR(LEFT(Q55,1)="T",LEFT(Q55,1)="R"),LEFT(Q55,2),LEFT(Q55,1)),"")</f>
        <v/>
      </c>
      <c r="BJ55" s="132" t="str">
        <f t="shared" ref="BJ55" si="664">IF($E56="H",IF(OR(LEFT(R55,1)="T",LEFT(R55,1)="R"),LEFT(R55,2),LEFT(R55,1)),"")</f>
        <v/>
      </c>
      <c r="BK55" s="132" t="str">
        <f t="shared" ref="BK55" si="665">IF($E56="H",IF(OR(LEFT(S55,1)="T",LEFT(S55,1)="R"),LEFT(S55,2),LEFT(S55,1)),"")</f>
        <v/>
      </c>
      <c r="BL55" s="132" t="str">
        <f t="shared" ref="BL55" si="666">IF($E56="H",IF(OR(LEFT(T55,1)="T",LEFT(T55,1)="R"),LEFT(T55,2),LEFT(T55,1)),"")</f>
        <v/>
      </c>
      <c r="BM55" s="132" t="str">
        <f t="shared" ref="BM55" si="667">IF($E56="H",IF(OR(LEFT(U55,1)="T",LEFT(U55,1)="R"),LEFT(U55,2),LEFT(U55,1)),"")</f>
        <v/>
      </c>
      <c r="BN55" s="132" t="str">
        <f t="shared" ref="BN55" si="668">IF($E56="H",IF(OR(LEFT(V55,1)="T",LEFT(V55,1)="R"),LEFT(V55,2),LEFT(V55,1)),"")</f>
        <v/>
      </c>
      <c r="BO55" s="132" t="str">
        <f t="shared" ref="BO55" si="669">IF($E56="H",IF(OR(LEFT(W55,1)="T",LEFT(W55,1)="R"),LEFT(W55,2),LEFT(W55,1)),"")</f>
        <v/>
      </c>
      <c r="BP55" s="132" t="str">
        <f t="shared" ref="BP55" si="670">IF($E56="H",IF(OR(LEFT(X55,1)="T",LEFT(X55,1)="R"),LEFT(X55,2),LEFT(X55,1)),"")</f>
        <v/>
      </c>
      <c r="BQ55" s="132" t="str">
        <f t="shared" ref="BQ55" si="671">IF($E56="H",IF(OR(LEFT(Y55,1)="T",LEFT(Y55,1)="R"),LEFT(Y55,2),LEFT(Y55,1)),"")</f>
        <v/>
      </c>
      <c r="BR55" s="132" t="str">
        <f t="shared" ref="BR55" si="672">IF($E56="H",IF(OR(LEFT(Z55,1)="T",LEFT(Z55,1)="R"),LEFT(Z55,2),LEFT(Z55,1)),"")</f>
        <v/>
      </c>
      <c r="BS55" s="132" t="str">
        <f t="shared" ref="BS55" si="673">IF($E56="H",IF(OR(LEFT(AA55,1)="T",LEFT(AA55,1)="R"),LEFT(AA55,2),LEFT(AA55,1)),"")</f>
        <v/>
      </c>
      <c r="BU55" s="144" t="str">
        <f t="shared" ref="BU55" si="674">IF(OR(LEFT(AB55,2)="PL",LEFT(AC55,2)="PL",LEFT(AD55,2)="PL",LEFT(AE55,2)="PL",LEFT(AF55,2)="PL"),IF($AS$17-AR55&gt;$BU$17,"X",""),"")</f>
        <v/>
      </c>
      <c r="BV55" s="144"/>
      <c r="BW55" s="135">
        <f t="shared" ref="BW55" si="675">IF(COUNTIF(BY55:CC55,BY55)&gt;1,1,IF(COUNTIF(BY55:CC55,BZ55)&gt;1,2,IF(COUNTIF(BY55:CC55,CA55)&gt;1,3,IF(COUNTIF(BY55:CC55,CB55)&gt;1,4,IF(COUNTIF(BY55:CC55,CC55)&gt;1,5,"")))))</f>
        <v>1</v>
      </c>
      <c r="BX55" s="135">
        <f t="shared" ref="BX55" si="676">IF(COUNTIF(BY55:CC55,CC55)&gt;1,5,IF(COUNTIF(BY55:CC55,CB55)&gt;1,4,IF(COUNTIF(BY55:CC55,CA55)&gt;1,3,IF(COUNTIF(BY55:CC55,BZ55)&gt;1,2,IF(COUNTIF(BY55:CC55,BY55)&gt;1,1,"")))))</f>
        <v>5</v>
      </c>
      <c r="BY55" s="132" t="str">
        <f t="shared" ref="BY55" si="677">IFERROR(IF($E56="H",IF(AB55="",BY$18,IF(ISNUMBER(_xlfn.NUMBERVALUE(LEFT(AB55,1))),MID(AB55,2,2),LEFT(AB55,2))),""),"")</f>
        <v/>
      </c>
      <c r="BZ55" s="132" t="str">
        <f t="shared" ref="BZ55" si="678">IFERROR(IF($E56="H",IF(AC55="",BZ$18,IF(ISNUMBER(_xlfn.NUMBERVALUE(LEFT(AC55,1))),MID(AC55,2,2),LEFT(AC55,2))),""),"")</f>
        <v/>
      </c>
      <c r="CA55" s="132" t="str">
        <f t="shared" ref="CA55" si="679">IFERROR(IF($E56="H",IF(AD55="",CA$18,IF(ISNUMBER(_xlfn.NUMBERVALUE(LEFT(AD55,1))),MID(AD55,2,2),LEFT(AD55,2))),""),"")</f>
        <v/>
      </c>
      <c r="CB55" s="132" t="str">
        <f t="shared" ref="CB55" si="680">IFERROR(IF($E56="H",IF(AE55="",CB$18,IF(ISNUMBER(_xlfn.NUMBERVALUE(LEFT(AE55,1))),MID(AE55,2,2),LEFT(AE55,2))),""),"")</f>
        <v/>
      </c>
      <c r="CC55" s="132" t="str">
        <f t="shared" ref="CC55" si="681">IFERROR(IF($E56="H",IF(AF55="",CC$18,IF(ISNUMBER(_xlfn.NUMBERVALUE(LEFT(AF55,1))),MID(AF55,2,2),LEFT(AF55,2))),""),"")</f>
        <v/>
      </c>
      <c r="CE55" s="135" t="str">
        <f t="shared" ref="CE55" si="682">IF(E56=3,_xlfn.NUMBERVALUE(LEFT(J55,1)),"")</f>
        <v/>
      </c>
    </row>
    <row r="56" spans="1:83" x14ac:dyDescent="0.25">
      <c r="A56" s="42"/>
      <c r="B56" s="43"/>
      <c r="C56" s="43"/>
      <c r="D56" s="43"/>
      <c r="E56" s="21" t="str">
        <f t="shared" ref="E56" si="683">IF(F55="Acrobatic","PA",IF(F55="Acrobatic Airborn","A",IF(F55="Acrobatic Balance","B",IF(F55="Acrobatic Combined","C",IF(F55="Acrobatic Platform","P",IF(F55="Technical Required Element",3,IF(LEFT(F55,4)="Hybr","H","")))))))</f>
        <v/>
      </c>
      <c r="F56" s="21" t="str">
        <f>IF(OR(F55="Acrobatic Airborn",F55="Acrobatic Balance",F55="Acrobatic Combined",F55="Acrobatic Platform"),"Acrobatic",IF(AND(F55="Hybrid - Thrust",AU55="X"),"Hybrid - Thrust - X",IF(AND(F55="Hybrid - 720",AU55="X"),"Hybrid - 720 - X","")))</f>
        <v/>
      </c>
      <c r="G56" s="45"/>
      <c r="H56" s="68" t="str">
        <f t="shared" si="2"/>
        <v/>
      </c>
      <c r="I56" s="69"/>
      <c r="J56" s="16">
        <f>IFERROR(IF($E56="",0,IF(AND($E56="H",$F$8&lt;&gt;"Acrobatic"),VLOOKUP(J55,HybridDDX,2,FALSE),IF($E56="PA",VLOOKUP(J55,AcroPairDDX,2,FALSE),IF(OR($E56="A",$E56="B",$E56="C",$E56="P"),0,IF($E56=3,VLOOKUP(J55,TreDDX,2,FALSE),0))))),0)</f>
        <v>0</v>
      </c>
      <c r="K56" s="16">
        <f>IFERROR(IF($E56="",0,IF(AND($E56="H",$F$8&lt;&gt;"Acrobatic"),VLOOKUP(K55,HybridDDX,2,FALSE),IF($E56="PA",0,IF($E56="A",SUMPRODUCT(--EXACT(K55,AcroADD2),AcroADD2X),IF($E56="B",SUMPRODUCT(--EXACT(K55,AcroBDD2),AcroBDD2X),IF($E56="C",SUMPRODUCT(--EXACT(K55,AcroCDD2),AcroCDD2X),IF($E56="P",SUMPRODUCT(--EXACT(K55,AcroPDD2),AcroPDD2X),IF($E56=3,0,0)))))))),0)</f>
        <v>0</v>
      </c>
      <c r="L56" s="16">
        <f t="array" ref="L56">IFERROR(IF($E56="",0,IF(AND($E56="H",$F$8&lt;&gt;"Acrobatic"),VLOOKUP(L55,HybridDDX,2,FALSE),IF($E56="PA",0,IF($E56="A",SUMPRODUCT(--EXACT(L55,AcroADD3),AcroADD3X),IF($E56="B",SUMPRODUCT(--EXACT(CONCATENATE(LEN(L55),L55),AcroBDD3W),AcroBDD3X),IF($E56="C",SUMPRODUCT(--EXACT(L55,AcroCDD3),AcroCDD3X),IF($E56="P",SUMPRODUCT(--EXACT(L55,AcroPDD3),AcroPDD3X),IF($E56=3,0,0)))))))),0)</f>
        <v>0</v>
      </c>
      <c r="M56" s="16">
        <f>IFERROR(IF($E56="",0,IF(AND($E56="H",$F$8&lt;&gt;"Acrobatic"),VLOOKUP(M55,HybridDDX,2,FALSE),IF($E56="PA",0,IF($E56="A",SUMPRODUCT(--EXACT(M55,AcroADD4p1),AcroADD4p1X),IF($E56="B",SUMPRODUCT(--EXACT(M55,AcroBDD4p1),AcroBDD4p1X),IF($E56="C",SUMPRODUCT(--EXACT(M55,AcroCDD4p1),AcroCDD4p1X),IF($E56="P",SUMPRODUCT(--EXACT(M55,AcroPDD4p1),AcroPDD4p1X),IF($E56=3,0,0)))))))),0)</f>
        <v>0</v>
      </c>
      <c r="N56" s="16">
        <f>IFERROR(IF($E56="",0,IF(AND($E56="H",$F$8&lt;&gt;"Acrobatic"),VLOOKUP(N55,HybridDDX,2,FALSE),IF($E56="PA",0,IF($E56="A",SUMPRODUCT(--EXACT(N55,AcroADD4p2),AcroADD4p2X),IF($E56="B",SUMPRODUCT(--EXACT(N55,AcroBDD4p2),AcroBDD4p2X),IF($E56="C",SUMPRODUCT(--EXACT(N55,AcroCDD4p2),AcroCDD4p2X),IF($E56="P",SUMPRODUCT(--EXACT(N55,AcroPDD4p2),AcroPDD4p2X),IF($E56=3,0,0)))))))),0)</f>
        <v>0</v>
      </c>
      <c r="O56" s="16">
        <f>IFERROR(IF($E56="",0,IF(AND($E56="H",$F$8&lt;&gt;"Acrobatic"),VLOOKUP(O55,HybridDDX,2,FALSE),IF($E56="PA",0,IF($E56="A",SUMPRODUCT(--EXACT(O55,AcroADD5),AcroADD5X),IF($E56="B",SUMPRODUCT(--EXACT(O55,AcroBDD5),AcroBDD5X),IF($E56="C",SUMPRODUCT(--EXACT(O55,AcroCDD5),AcroCDD5X),IF($E56="P",SUMPRODUCT(--EXACT(O55,AcroPDD5),AcroPDD5X),IF($E56=3,0,0)))))))),0)</f>
        <v>0</v>
      </c>
      <c r="P56" s="16">
        <f>IFERROR(IF($E56="",0,IF(AND($E56="H",$F$8&lt;&gt;"Acrobatic"),VLOOKUP(P55,HybridDDX,2,FALSE),IF($E56="C",SUMPRODUCT(--EXACT(P55,AcroCDD6),AcroCDD6X),0))),0)</f>
        <v>0</v>
      </c>
      <c r="Q56" s="16">
        <f t="shared" ref="Q56:AA56" si="684">IFERROR(IF($E56="",0,IF(AND($E56="H",$F$8&lt;&gt;"Acrobatic"),VLOOKUP(Q55,HybridDDX,2,FALSE),0)),0)</f>
        <v>0</v>
      </c>
      <c r="R56" s="16">
        <f t="shared" si="684"/>
        <v>0</v>
      </c>
      <c r="S56" s="16">
        <f t="shared" si="684"/>
        <v>0</v>
      </c>
      <c r="T56" s="16">
        <f t="shared" si="684"/>
        <v>0</v>
      </c>
      <c r="U56" s="16">
        <f t="shared" si="684"/>
        <v>0</v>
      </c>
      <c r="V56" s="16">
        <f t="shared" si="684"/>
        <v>0</v>
      </c>
      <c r="W56" s="16">
        <f t="shared" si="684"/>
        <v>0</v>
      </c>
      <c r="X56" s="16">
        <f t="shared" si="684"/>
        <v>0</v>
      </c>
      <c r="Y56" s="16">
        <f t="shared" si="684"/>
        <v>0</v>
      </c>
      <c r="Z56" s="16">
        <f t="shared" si="684"/>
        <v>0</v>
      </c>
      <c r="AA56" s="16">
        <f t="shared" si="684"/>
        <v>0</v>
      </c>
      <c r="AB56" s="28">
        <f>IFERROR(IF($E56="",0,IF(AND($E56="H",$F$8&lt;&gt;"Acrobatic"),VLOOKUP(AB55,BonusDDX,2,FALSE),IF($E56="A",VLOOKUP(AB55,AcroABonusX,2,FALSE),IF($E56="B",VLOOKUP(AB55,AcroBBonusX,2,FALSE),IF($E56="C",VLOOKUP(AB55,AcroCBonusX,2,FALSE),IF($E56="P",VLOOKUP(AB55,AcroPBonusX,2,FALSE),0)))))),0)</f>
        <v>0</v>
      </c>
      <c r="AC56" s="16">
        <f>IFERROR(IF($E56="",0,IF(AND($E56="H",$F$8&lt;&gt;"Acrobatic"),VLOOKUP(AC55,BonusDDX,2,FALSE),IF($E56="A",VLOOKUP(AC55,AcroABonusX,2,FALSE),IF($E56="B",VLOOKUP(AC55,AcroBBonusX,2,FALSE),IF($E56="C",VLOOKUP(AC55,AcroCBonusX,2,FALSE),IF($E56="P",VLOOKUP(AC55,AcroPBonusX,2,FALSE),0)))))),0)</f>
        <v>0</v>
      </c>
      <c r="AD56" s="16">
        <f>IFERROR(IF($E56="",0,IF(AND($E56="H",$F$8&lt;&gt;"Acrobatic"),VLOOKUP(AD55,BonusDDX,2,FALSE),0)),0)</f>
        <v>0</v>
      </c>
      <c r="AE56" s="16">
        <f>IFERROR(IF($E56="",0,IF(AND($E56="H",$F$8&lt;&gt;"Acrobatic"),VLOOKUP(AE55,BonusDDX,2,FALSE),0)),0)</f>
        <v>0</v>
      </c>
      <c r="AF56" s="46">
        <f>IFERROR(IF($E56="",0,IF(AND($E56="H",$F$8&lt;&gt;"Acrobatic"),VLOOKUP(AF55,BonusDDX,2,FALSE),0)),0)</f>
        <v>0</v>
      </c>
      <c r="AG56" s="71">
        <f t="shared" ref="AG56" si="685">SUM(H56:AF56)</f>
        <v>0</v>
      </c>
      <c r="AH56" s="98"/>
      <c r="AI56" s="98"/>
      <c r="AJ56" s="145"/>
      <c r="AK56" s="145"/>
      <c r="AL56" s="145"/>
      <c r="AM56" s="145"/>
      <c r="AN56" s="145"/>
      <c r="AO56" s="145"/>
      <c r="AP56" s="145"/>
      <c r="AQ56" s="145"/>
      <c r="AR56" s="146" t="str">
        <f>IFERROR(IF($N$7="X",IF(AND(E56="C",AG56&gt;2.45),"X",IF(AND(E56="A",AG56&gt;2.65),"X",IF(AND(E56="B",AG56&gt;2.6),"X",IF(AND(E56="P",AG56&gt;2.5),"X","")))),""),"")</f>
        <v/>
      </c>
      <c r="AS56" s="137"/>
      <c r="AU56" s="132"/>
      <c r="AV56" s="135" t="str">
        <f>IF(F56="Hybrid",SECOND(AS56),"")</f>
        <v/>
      </c>
    </row>
    <row r="57" spans="1:83" x14ac:dyDescent="0.25">
      <c r="A57" s="42" t="str">
        <f t="shared" ref="A57" si="686">IF(AND(E55="",A55&lt;&gt;""),IF(AS55=$AS$18,"",IF(C55&lt;&gt;"",IF(D55=59,MINUTE(AS55)+1,MINUTE(AS55)),"")),"")</f>
        <v/>
      </c>
      <c r="B57" s="43" t="str">
        <f t="shared" ref="B57" si="687">IF(AND(E55="",B55&lt;&gt;""),IF(AS55=$AS$18,"",IF(C55&lt;&gt;"",IF(D55=59,0,SECOND(AS55)+1),"")),"")</f>
        <v/>
      </c>
      <c r="C57" s="54"/>
      <c r="D57" s="54"/>
      <c r="E57" s="9"/>
      <c r="F57" s="55"/>
      <c r="G57" s="45" t="str">
        <f>IF(F57&lt;&gt;"",IF(OR(F57="Transition",F57="Connected Surface Movment",F57="Cadense"),0,MAX($G$19:G56)+1),"")</f>
        <v/>
      </c>
      <c r="H57" s="68" t="str">
        <f t="shared" ref="H57" si="688">IF(E58=3,"",IF(E58="H","BM",IF(E58="PA",IF(OR(LEFT(J57,1)="L",LEFT(J57,1)="S"),"A-Pair-Lift",IF(OR(LEFT(J57,1)="W",LEFT(J57,1)="T"),"A-Pair-Throw",IF(LEFT(J57,1)="J","A-Pair-Jump","A-Pair"))),IF(OR(E58="A",E58="B",E58="C",E58="P"),CONCATENATE("Acro-",J57),""))))</f>
        <v/>
      </c>
      <c r="I57" s="69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6"/>
      <c r="AC57" s="161"/>
      <c r="AD57" s="161"/>
      <c r="AE57" s="161"/>
      <c r="AF57" s="167"/>
      <c r="AG57" s="47"/>
      <c r="AH57" s="97"/>
      <c r="AI57" s="97"/>
      <c r="AJ57" s="134"/>
      <c r="AK57" s="134"/>
      <c r="AL57" s="134"/>
      <c r="AM57" s="134"/>
      <c r="AN57" s="134"/>
      <c r="AO57" s="134"/>
      <c r="AP57" s="134"/>
      <c r="AQ57" s="134"/>
      <c r="AR57" s="137" t="str">
        <f>IFERROR(TIME(0,A57,B57),"")</f>
        <v/>
      </c>
      <c r="AS57" s="138">
        <f t="shared" ref="AS57" si="689">IFERROR(TIME(0,C57,D57),"")</f>
        <v>0</v>
      </c>
      <c r="AU57" s="132" t="str">
        <f>IF(AND(F57="Hybrid - Thrust",OR(LEFT(J57,1)="T",LEFT(K57,1)="T",LEFT(L57,1)="T",LEFT(JX57,1)="T",LEFT(M57,1)="T",LEFT(N57,1)="T",LEFT(O57,1)="T",LEFT(P57,1)="T",LEFT(Q57,1)="T",LEFT(R57,1)="T",LEFT(S57,1)="T",LEFT(T57,1)="T",LEFT(U57,1)="T",LEFT(V57,1)="T",LEFT(W57,1)="T",LEFT(X57,1)="T",LEFT(Y57,1)="T",LEFT(Z57,1)="T",LEFT(AA57,1)="T")),IF(OR(LEN(J57)=2,LEN(K57)=2,LEN(L57)=2,LEN(M57)=2,LEN(N57)=2,LEN(O57)=2,LEN(P57)=2,LEN(Q57)=2,LEN(R57)=2,LEN(S57)=2,LEN(T57)=2,LEN(U57)=2,LEN(V57)=2,LEN(W57)=2,LEN(X57)=2,LEN(Y57)=2,LEN(Z57)=2,LEN(AA57)=2),"X",""),IF(AND(F57="Hybrid - 720",OR(J57="R3",K57="R3",L57="R3",M57="R3",N57="R3",O57="R3",P57="R3",Q57="R3",R57="R3",S57="R3",T57="R3",U57="R3",V57="R3",W57="R3",X57="R3",Y57="R3",Z57="R3",AA57="R3")),"X",""))</f>
        <v/>
      </c>
      <c r="AV57" s="135" t="str">
        <f>IF(F57="Hybrid",SECOND(AS57),"")</f>
        <v/>
      </c>
      <c r="AW57" s="135">
        <f t="shared" ref="AW57" si="690">COUNTIF(BB57:BS57,"=T1")+COUNTIF(BB57:BS57,"=T2")+COUNTIF(BB57:BS57,"=T3")+COUNTIF(BB57:BS57,"=T4")</f>
        <v>0</v>
      </c>
      <c r="AX57" s="135">
        <f t="shared" ref="AX57" si="691">COUNTIF(BB57:BS57,"=r1")+COUNTIF(BB57:BS57,"=r2")+COUNTIF(BB57:BS57,"=r3")+COUNTIF(BB57:BS57,"=r4")</f>
        <v>0</v>
      </c>
      <c r="AY57" s="135">
        <f t="shared" ref="AY57" si="692">COUNTIF(BB57:BS57,"=A")</f>
        <v>0</v>
      </c>
      <c r="AZ57" s="135">
        <f t="shared" ref="AZ57" si="693">COUNTIF(BB57:BS57,"=F")</f>
        <v>0</v>
      </c>
      <c r="BA57" s="135">
        <f t="shared" ref="BA57" si="694">COUNTIF(BB57:BS57,"=C")</f>
        <v>0</v>
      </c>
      <c r="BB57" s="132" t="str">
        <f t="shared" ref="BB57" si="695">IF($E58="H",IF(OR(LEFT(J57,1)="T",LEFT(J57,1)="R"),LEFT(J57,2),LEFT(J57,1)),"")</f>
        <v/>
      </c>
      <c r="BC57" s="132" t="str">
        <f t="shared" ref="BC57" si="696">IF($E58="H",IF(OR(LEFT(K57,1)="T",LEFT(K57,1)="R"),LEFT(K57,2),LEFT(K57,1)),"")</f>
        <v/>
      </c>
      <c r="BD57" s="132" t="str">
        <f t="shared" ref="BD57" si="697">IF($E58="H",IF(OR(LEFT(L57,1)="T",LEFT(L57,1)="R"),LEFT(L57,2),LEFT(L57,1)),"")</f>
        <v/>
      </c>
      <c r="BE57" s="132" t="str">
        <f t="shared" ref="BE57" si="698">IF($E58="H",IF(OR(LEFT(M57,1)="T",LEFT(M57,1)="R"),LEFT(M57,2),LEFT(M57,1)),"")</f>
        <v/>
      </c>
      <c r="BF57" s="132" t="str">
        <f t="shared" ref="BF57" si="699">IF($E58="H",IF(OR(LEFT(N57,1)="T",LEFT(N57,1)="R"),LEFT(N57,2),LEFT(N57,1)),"")</f>
        <v/>
      </c>
      <c r="BG57" s="132" t="str">
        <f t="shared" ref="BG57" si="700">IF($E58="H",IF(OR(LEFT(O57,1)="T",LEFT(O57,1)="R"),LEFT(O57,2),LEFT(O57,1)),"")</f>
        <v/>
      </c>
      <c r="BH57" s="132" t="str">
        <f t="shared" ref="BH57" si="701">IF($E58="H",IF(OR(LEFT(P57,1)="T",LEFT(P57,1)="R"),LEFT(P57,2),LEFT(P57,1)),"")</f>
        <v/>
      </c>
      <c r="BI57" s="132" t="str">
        <f t="shared" ref="BI57" si="702">IF($E58="H",IF(OR(LEFT(Q57,1)="T",LEFT(Q57,1)="R"),LEFT(Q57,2),LEFT(Q57,1)),"")</f>
        <v/>
      </c>
      <c r="BJ57" s="132" t="str">
        <f t="shared" ref="BJ57" si="703">IF($E58="H",IF(OR(LEFT(R57,1)="T",LEFT(R57,1)="R"),LEFT(R57,2),LEFT(R57,1)),"")</f>
        <v/>
      </c>
      <c r="BK57" s="132" t="str">
        <f t="shared" ref="BK57" si="704">IF($E58="H",IF(OR(LEFT(S57,1)="T",LEFT(S57,1)="R"),LEFT(S57,2),LEFT(S57,1)),"")</f>
        <v/>
      </c>
      <c r="BL57" s="132" t="str">
        <f t="shared" ref="BL57" si="705">IF($E58="H",IF(OR(LEFT(T57,1)="T",LEFT(T57,1)="R"),LEFT(T57,2),LEFT(T57,1)),"")</f>
        <v/>
      </c>
      <c r="BM57" s="132" t="str">
        <f t="shared" ref="BM57" si="706">IF($E58="H",IF(OR(LEFT(U57,1)="T",LEFT(U57,1)="R"),LEFT(U57,2),LEFT(U57,1)),"")</f>
        <v/>
      </c>
      <c r="BN57" s="132" t="str">
        <f t="shared" ref="BN57" si="707">IF($E58="H",IF(OR(LEFT(V57,1)="T",LEFT(V57,1)="R"),LEFT(V57,2),LEFT(V57,1)),"")</f>
        <v/>
      </c>
      <c r="BO57" s="132" t="str">
        <f t="shared" ref="BO57" si="708">IF($E58="H",IF(OR(LEFT(W57,1)="T",LEFT(W57,1)="R"),LEFT(W57,2),LEFT(W57,1)),"")</f>
        <v/>
      </c>
      <c r="BP57" s="132" t="str">
        <f t="shared" ref="BP57" si="709">IF($E58="H",IF(OR(LEFT(X57,1)="T",LEFT(X57,1)="R"),LEFT(X57,2),LEFT(X57,1)),"")</f>
        <v/>
      </c>
      <c r="BQ57" s="132" t="str">
        <f t="shared" ref="BQ57" si="710">IF($E58="H",IF(OR(LEFT(Y57,1)="T",LEFT(Y57,1)="R"),LEFT(Y57,2),LEFT(Y57,1)),"")</f>
        <v/>
      </c>
      <c r="BR57" s="132" t="str">
        <f t="shared" ref="BR57" si="711">IF($E58="H",IF(OR(LEFT(Z57,1)="T",LEFT(Z57,1)="R"),LEFT(Z57,2),LEFT(Z57,1)),"")</f>
        <v/>
      </c>
      <c r="BS57" s="132" t="str">
        <f t="shared" ref="BS57" si="712">IF($E58="H",IF(OR(LEFT(AA57,1)="T",LEFT(AA57,1)="R"),LEFT(AA57,2),LEFT(AA57,1)),"")</f>
        <v/>
      </c>
      <c r="BU57" s="144" t="str">
        <f t="shared" ref="BU57" si="713">IF(OR(LEFT(AB57,2)="PL",LEFT(AC57,2)="PL",LEFT(AD57,2)="PL",LEFT(AE57,2)="PL",LEFT(AF57,2)="PL"),IF($AS$17-AR57&gt;$BU$17,"X",""),"")</f>
        <v/>
      </c>
      <c r="BV57" s="144"/>
      <c r="BW57" s="135">
        <f t="shared" ref="BW57" si="714">IF(COUNTIF(BY57:CC57,BY57)&gt;1,1,IF(COUNTIF(BY57:CC57,BZ57)&gt;1,2,IF(COUNTIF(BY57:CC57,CA57)&gt;1,3,IF(COUNTIF(BY57:CC57,CB57)&gt;1,4,IF(COUNTIF(BY57:CC57,CC57)&gt;1,5,"")))))</f>
        <v>1</v>
      </c>
      <c r="BX57" s="135">
        <f t="shared" ref="BX57" si="715">IF(COUNTIF(BY57:CC57,CC57)&gt;1,5,IF(COUNTIF(BY57:CC57,CB57)&gt;1,4,IF(COUNTIF(BY57:CC57,CA57)&gt;1,3,IF(COUNTIF(BY57:CC57,BZ57)&gt;1,2,IF(COUNTIF(BY57:CC57,BY57)&gt;1,1,"")))))</f>
        <v>5</v>
      </c>
      <c r="BY57" s="132" t="str">
        <f t="shared" ref="BY57" si="716">IFERROR(IF($E58="H",IF(AB57="",BY$18,IF(ISNUMBER(_xlfn.NUMBERVALUE(LEFT(AB57,1))),MID(AB57,2,2),LEFT(AB57,2))),""),"")</f>
        <v/>
      </c>
      <c r="BZ57" s="132" t="str">
        <f t="shared" ref="BZ57" si="717">IFERROR(IF($E58="H",IF(AC57="",BZ$18,IF(ISNUMBER(_xlfn.NUMBERVALUE(LEFT(AC57,1))),MID(AC57,2,2),LEFT(AC57,2))),""),"")</f>
        <v/>
      </c>
      <c r="CA57" s="132" t="str">
        <f t="shared" ref="CA57" si="718">IFERROR(IF($E58="H",IF(AD57="",CA$18,IF(ISNUMBER(_xlfn.NUMBERVALUE(LEFT(AD57,1))),MID(AD57,2,2),LEFT(AD57,2))),""),"")</f>
        <v/>
      </c>
      <c r="CB57" s="132" t="str">
        <f t="shared" ref="CB57" si="719">IFERROR(IF($E58="H",IF(AE57="",CB$18,IF(ISNUMBER(_xlfn.NUMBERVALUE(LEFT(AE57,1))),MID(AE57,2,2),LEFT(AE57,2))),""),"")</f>
        <v/>
      </c>
      <c r="CC57" s="132" t="str">
        <f t="shared" ref="CC57" si="720">IFERROR(IF($E58="H",IF(AF57="",CC$18,IF(ISNUMBER(_xlfn.NUMBERVALUE(LEFT(AF57,1))),MID(AF57,2,2),LEFT(AF57,2))),""),"")</f>
        <v/>
      </c>
      <c r="CE57" s="135" t="str">
        <f t="shared" ref="CE57" si="721">IF(E58=3,_xlfn.NUMBERVALUE(LEFT(J57,1)),"")</f>
        <v/>
      </c>
    </row>
    <row r="58" spans="1:83" x14ac:dyDescent="0.25">
      <c r="A58" s="42"/>
      <c r="B58" s="43"/>
      <c r="C58" s="43"/>
      <c r="D58" s="43"/>
      <c r="E58" s="21" t="str">
        <f t="shared" ref="E58" si="722">IF(F57="Acrobatic","PA",IF(F57="Acrobatic Airborn","A",IF(F57="Acrobatic Balance","B",IF(F57="Acrobatic Combined","C",IF(F57="Acrobatic Platform","P",IF(F57="Technical Required Element",3,IF(LEFT(F57,4)="Hybr","H","")))))))</f>
        <v/>
      </c>
      <c r="F58" s="21" t="str">
        <f>IF(OR(F57="Acrobatic Airborn",F57="Acrobatic Balance",F57="Acrobatic Combined",F57="Acrobatic Platform"),"Acrobatic",IF(AND(F57="Hybrid - Thrust",AU57="X"),"Hybrid - Thrust - X",IF(AND(F57="Hybrid - 720",AU57="X"),"Hybrid - 720 - X","")))</f>
        <v/>
      </c>
      <c r="G58" s="45"/>
      <c r="H58" s="68" t="str">
        <f t="shared" si="2"/>
        <v/>
      </c>
      <c r="I58" s="69"/>
      <c r="J58" s="16">
        <f>IFERROR(IF($E58="",0,IF(AND($E58="H",$F$8&lt;&gt;"Acrobatic"),VLOOKUP(J57,HybridDDX,2,FALSE),IF($E58="PA",VLOOKUP(J57,AcroPairDDX,2,FALSE),IF(OR($E58="A",$E58="B",$E58="C",$E58="P"),0,IF($E58=3,VLOOKUP(J57,TreDDX,2,FALSE),0))))),0)</f>
        <v>0</v>
      </c>
      <c r="K58" s="16">
        <f>IFERROR(IF($E58="",0,IF(AND($E58="H",$F$8&lt;&gt;"Acrobatic"),VLOOKUP(K57,HybridDDX,2,FALSE),IF($E58="PA",0,IF($E58="A",SUMPRODUCT(--EXACT(K57,AcroADD2),AcroADD2X),IF($E58="B",SUMPRODUCT(--EXACT(K57,AcroBDD2),AcroBDD2X),IF($E58="C",SUMPRODUCT(--EXACT(K57,AcroCDD2),AcroCDD2X),IF($E58="P",SUMPRODUCT(--EXACT(K57,AcroPDD2),AcroPDD2X),IF($E58=3,0,0)))))))),0)</f>
        <v>0</v>
      </c>
      <c r="L58" s="16">
        <f t="array" ref="L58">IFERROR(IF($E58="",0,IF(AND($E58="H",$F$8&lt;&gt;"Acrobatic"),VLOOKUP(L57,HybridDDX,2,FALSE),IF($E58="PA",0,IF($E58="A",SUMPRODUCT(--EXACT(L57,AcroADD3),AcroADD3X),IF($E58="B",SUMPRODUCT(--EXACT(CONCATENATE(LEN(L57),L57),AcroBDD3W),AcroBDD3X),IF($E58="C",SUMPRODUCT(--EXACT(L57,AcroCDD3),AcroCDD3X),IF($E58="P",SUMPRODUCT(--EXACT(L57,AcroPDD3),AcroPDD3X),IF($E58=3,0,0)))))))),0)</f>
        <v>0</v>
      </c>
      <c r="M58" s="16">
        <f>IFERROR(IF($E58="",0,IF(AND($E58="H",$F$8&lt;&gt;"Acrobatic"),VLOOKUP(M57,HybridDDX,2,FALSE),IF($E58="PA",0,IF($E58="A",SUMPRODUCT(--EXACT(M57,AcroADD4p1),AcroADD4p1X),IF($E58="B",SUMPRODUCT(--EXACT(M57,AcroBDD4p1),AcroBDD4p1X),IF($E58="C",SUMPRODUCT(--EXACT(M57,AcroCDD4p1),AcroCDD4p1X),IF($E58="P",SUMPRODUCT(--EXACT(M57,AcroPDD4p1),AcroPDD4p1X),IF($E58=3,0,0)))))))),0)</f>
        <v>0</v>
      </c>
      <c r="N58" s="16">
        <f>IFERROR(IF($E58="",0,IF(AND($E58="H",$F$8&lt;&gt;"Acrobatic"),VLOOKUP(N57,HybridDDX,2,FALSE),IF($E58="PA",0,IF($E58="A",SUMPRODUCT(--EXACT(N57,AcroADD4p2),AcroADD4p2X),IF($E58="B",SUMPRODUCT(--EXACT(N57,AcroBDD4p2),AcroBDD4p2X),IF($E58="C",SUMPRODUCT(--EXACT(N57,AcroCDD4p2),AcroCDD4p2X),IF($E58="P",SUMPRODUCT(--EXACT(N57,AcroPDD4p2),AcroPDD4p2X),IF($E58=3,0,0)))))))),0)</f>
        <v>0</v>
      </c>
      <c r="O58" s="16">
        <f>IFERROR(IF($E58="",0,IF(AND($E58="H",$F$8&lt;&gt;"Acrobatic"),VLOOKUP(O57,HybridDDX,2,FALSE),IF($E58="PA",0,IF($E58="A",SUMPRODUCT(--EXACT(O57,AcroADD5),AcroADD5X),IF($E58="B",SUMPRODUCT(--EXACT(O57,AcroBDD5),AcroBDD5X),IF($E58="C",SUMPRODUCT(--EXACT(O57,AcroCDD5),AcroCDD5X),IF($E58="P",SUMPRODUCT(--EXACT(O57,AcroPDD5),AcroPDD5X),IF($E58=3,0,0)))))))),0)</f>
        <v>0</v>
      </c>
      <c r="P58" s="16">
        <f>IFERROR(IF($E58="",0,IF(AND($E58="H",$F$8&lt;&gt;"Acrobatic"),VLOOKUP(P57,HybridDDX,2,FALSE),IF($E58="C",SUMPRODUCT(--EXACT(P57,AcroCDD6),AcroCDD6X),0))),0)</f>
        <v>0</v>
      </c>
      <c r="Q58" s="16">
        <f t="shared" ref="Q58:AA58" si="723">IFERROR(IF($E58="",0,IF(AND($E58="H",$F$8&lt;&gt;"Acrobatic"),VLOOKUP(Q57,HybridDDX,2,FALSE),0)),0)</f>
        <v>0</v>
      </c>
      <c r="R58" s="16">
        <f t="shared" si="723"/>
        <v>0</v>
      </c>
      <c r="S58" s="16">
        <f t="shared" si="723"/>
        <v>0</v>
      </c>
      <c r="T58" s="16">
        <f t="shared" si="723"/>
        <v>0</v>
      </c>
      <c r="U58" s="16">
        <f t="shared" si="723"/>
        <v>0</v>
      </c>
      <c r="V58" s="16">
        <f t="shared" si="723"/>
        <v>0</v>
      </c>
      <c r="W58" s="16">
        <f t="shared" si="723"/>
        <v>0</v>
      </c>
      <c r="X58" s="16">
        <f t="shared" si="723"/>
        <v>0</v>
      </c>
      <c r="Y58" s="16">
        <f t="shared" si="723"/>
        <v>0</v>
      </c>
      <c r="Z58" s="16">
        <f t="shared" si="723"/>
        <v>0</v>
      </c>
      <c r="AA58" s="16">
        <f t="shared" si="723"/>
        <v>0</v>
      </c>
      <c r="AB58" s="28">
        <f>IFERROR(IF($E58="",0,IF(AND($E58="H",$F$8&lt;&gt;"Acrobatic"),VLOOKUP(AB57,BonusDDX,2,FALSE),IF($E58="A",VLOOKUP(AB57,AcroABonusX,2,FALSE),IF($E58="B",VLOOKUP(AB57,AcroBBonusX,2,FALSE),IF($E58="C",VLOOKUP(AB57,AcroCBonusX,2,FALSE),IF($E58="P",VLOOKUP(AB57,AcroPBonusX,2,FALSE),0)))))),0)</f>
        <v>0</v>
      </c>
      <c r="AC58" s="16">
        <f>IFERROR(IF($E58="",0,IF(AND($E58="H",$F$8&lt;&gt;"Acrobatic"),VLOOKUP(AC57,BonusDDX,2,FALSE),IF($E58="A",VLOOKUP(AC57,AcroABonusX,2,FALSE),IF($E58="B",VLOOKUP(AC57,AcroBBonusX,2,FALSE),IF($E58="C",VLOOKUP(AC57,AcroCBonusX,2,FALSE),IF($E58="P",VLOOKUP(AC57,AcroPBonusX,2,FALSE),0)))))),0)</f>
        <v>0</v>
      </c>
      <c r="AD58" s="16">
        <f>IFERROR(IF($E58="",0,IF(AND($E58="H",$F$8&lt;&gt;"Acrobatic"),VLOOKUP(AD57,BonusDDX,2,FALSE),0)),0)</f>
        <v>0</v>
      </c>
      <c r="AE58" s="16">
        <f>IFERROR(IF($E58="",0,IF(AND($E58="H",$F$8&lt;&gt;"Acrobatic"),VLOOKUP(AE57,BonusDDX,2,FALSE),0)),0)</f>
        <v>0</v>
      </c>
      <c r="AF58" s="46">
        <f>IFERROR(IF($E58="",0,IF(AND($E58="H",$F$8&lt;&gt;"Acrobatic"),VLOOKUP(AF57,BonusDDX,2,FALSE),0)),0)</f>
        <v>0</v>
      </c>
      <c r="AG58" s="71">
        <f t="shared" ref="AG58" si="724">SUM(H58:AF58)</f>
        <v>0</v>
      </c>
      <c r="AH58" s="98"/>
      <c r="AI58" s="98"/>
      <c r="AJ58" s="145"/>
      <c r="AK58" s="145"/>
      <c r="AL58" s="145"/>
      <c r="AM58" s="145"/>
      <c r="AN58" s="145"/>
      <c r="AO58" s="145"/>
      <c r="AP58" s="145"/>
      <c r="AQ58" s="145"/>
      <c r="AR58" s="146" t="str">
        <f>IFERROR(IF($N$7="X",IF(AND(E58="C",AG58&gt;2.45),"X",IF(AND(E58="A",AG58&gt;2.65),"X",IF(AND(E58="B",AG58&gt;2.6),"X",IF(AND(E58="P",AG58&gt;2.5),"X","")))),""),"")</f>
        <v/>
      </c>
      <c r="AS58" s="137"/>
      <c r="AU58" s="132"/>
    </row>
    <row r="59" spans="1:83" x14ac:dyDescent="0.25">
      <c r="A59" s="42" t="str">
        <f t="shared" ref="A59" si="725">IF(AND(E57="",A57&lt;&gt;""),IF(AS57=$AS$18,"",IF(C57&lt;&gt;"",IF(D57=59,MINUTE(AS57)+1,MINUTE(AS57)),"")),"")</f>
        <v/>
      </c>
      <c r="B59" s="43" t="str">
        <f t="shared" ref="B59" si="726">IF(AND(E57="",B57&lt;&gt;""),IF(AS57=$AS$18,"",IF(C57&lt;&gt;"",IF(D57=59,0,SECOND(AS57)+1),"")),"")</f>
        <v/>
      </c>
      <c r="C59" s="54"/>
      <c r="D59" s="54"/>
      <c r="E59" s="9"/>
      <c r="F59" s="55"/>
      <c r="G59" s="45" t="str">
        <f>IF(F59&lt;&gt;"",IF(OR(F59="Transition",F59="Connected Surface Movment",F59="Cadense"),0,MAX($G$19:G58)+1),"")</f>
        <v/>
      </c>
      <c r="H59" s="68" t="str">
        <f t="shared" ref="H59" si="727">IF(E60=3,"",IF(E60="H","BM",IF(E60="PA",IF(OR(LEFT(J59,1)="L",LEFT(J59,1)="S"),"A-Pair-Lift",IF(OR(LEFT(J59,1)="W",LEFT(J59,1)="T"),"A-Pair-Throw",IF(LEFT(J59,1)="J","A-Pair-Jump","A-Pair"))),IF(OR(E60="A",E60="B",E60="C",E60="P"),CONCATENATE("Acro-",J59),""))))</f>
        <v/>
      </c>
      <c r="I59" s="69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6"/>
      <c r="AC59" s="161"/>
      <c r="AD59" s="161"/>
      <c r="AE59" s="161"/>
      <c r="AF59" s="167"/>
      <c r="AG59" s="47"/>
      <c r="AH59" s="97"/>
      <c r="AI59" s="97"/>
      <c r="AJ59" s="134"/>
      <c r="AK59" s="134"/>
      <c r="AL59" s="134"/>
      <c r="AM59" s="134"/>
      <c r="AN59" s="134"/>
      <c r="AO59" s="134"/>
      <c r="AP59" s="134"/>
      <c r="AQ59" s="134"/>
      <c r="AR59" s="137" t="str">
        <f>IFERROR(TIME(0,A59,B59),"")</f>
        <v/>
      </c>
      <c r="AS59" s="138">
        <f t="shared" ref="AS59" si="728">IFERROR(TIME(0,C59,D59),"")</f>
        <v>0</v>
      </c>
      <c r="AU59" s="132" t="str">
        <f>IF(AND(F59="Hybrid - Thrust",OR(LEFT(J59,1)="T",LEFT(K59,1)="T",LEFT(L59,1)="T",LEFT(JX59,1)="T",LEFT(M59,1)="T",LEFT(N59,1)="T",LEFT(O59,1)="T",LEFT(P59,1)="T",LEFT(Q59,1)="T",LEFT(R59,1)="T",LEFT(S59,1)="T",LEFT(T59,1)="T",LEFT(U59,1)="T",LEFT(V59,1)="T",LEFT(W59,1)="T",LEFT(X59,1)="T",LEFT(Y59,1)="T",LEFT(Z59,1)="T",LEFT(AA59,1)="T")),IF(OR(LEN(J59)=2,LEN(K59)=2,LEN(L59)=2,LEN(M59)=2,LEN(N59)=2,LEN(O59)=2,LEN(P59)=2,LEN(Q59)=2,LEN(R59)=2,LEN(S59)=2,LEN(T59)=2,LEN(U59)=2,LEN(V59)=2,LEN(W59)=2,LEN(X59)=2,LEN(Y59)=2,LEN(Z59)=2,LEN(AA59)=2),"X",""),IF(AND(F59="Hybrid - 720",OR(J59="R3",K59="R3",L59="R3",M59="R3",N59="R3",O59="R3",P59="R3",Q59="R3",R59="R3",S59="R3",T59="R3",U59="R3",V59="R3",W59="R3",X59="R3",Y59="R3",Z59="R3",AA59="R3")),"X",""))</f>
        <v/>
      </c>
      <c r="AW59" s="135">
        <f t="shared" ref="AW59" si="729">COUNTIF(BB59:BS59,"=T1")+COUNTIF(BB59:BS59,"=T2")+COUNTIF(BB59:BS59,"=T3")+COUNTIF(BB59:BS59,"=T4")</f>
        <v>0</v>
      </c>
      <c r="AX59" s="135">
        <f t="shared" ref="AX59" si="730">COUNTIF(BB59:BS59,"=r1")+COUNTIF(BB59:BS59,"=r2")+COUNTIF(BB59:BS59,"=r3")+COUNTIF(BB59:BS59,"=r4")</f>
        <v>0</v>
      </c>
      <c r="AY59" s="135">
        <f t="shared" ref="AY59" si="731">COUNTIF(BB59:BS59,"=A")</f>
        <v>0</v>
      </c>
      <c r="AZ59" s="135">
        <f t="shared" ref="AZ59" si="732">COUNTIF(BB59:BS59,"=F")</f>
        <v>0</v>
      </c>
      <c r="BA59" s="135">
        <f t="shared" ref="BA59" si="733">COUNTIF(BB59:BS59,"=C")</f>
        <v>0</v>
      </c>
      <c r="BB59" s="132" t="str">
        <f t="shared" ref="BB59" si="734">IF($E60="H",IF(OR(LEFT(J59,1)="T",LEFT(J59,1)="R"),LEFT(J59,2),LEFT(J59,1)),"")</f>
        <v/>
      </c>
      <c r="BC59" s="132" t="str">
        <f t="shared" ref="BC59" si="735">IF($E60="H",IF(OR(LEFT(K59,1)="T",LEFT(K59,1)="R"),LEFT(K59,2),LEFT(K59,1)),"")</f>
        <v/>
      </c>
      <c r="BD59" s="132" t="str">
        <f t="shared" ref="BD59" si="736">IF($E60="H",IF(OR(LEFT(L59,1)="T",LEFT(L59,1)="R"),LEFT(L59,2),LEFT(L59,1)),"")</f>
        <v/>
      </c>
      <c r="BE59" s="132" t="str">
        <f t="shared" ref="BE59" si="737">IF($E60="H",IF(OR(LEFT(M59,1)="T",LEFT(M59,1)="R"),LEFT(M59,2),LEFT(M59,1)),"")</f>
        <v/>
      </c>
      <c r="BF59" s="132" t="str">
        <f t="shared" ref="BF59" si="738">IF($E60="H",IF(OR(LEFT(N59,1)="T",LEFT(N59,1)="R"),LEFT(N59,2),LEFT(N59,1)),"")</f>
        <v/>
      </c>
      <c r="BG59" s="132" t="str">
        <f t="shared" ref="BG59" si="739">IF($E60="H",IF(OR(LEFT(O59,1)="T",LEFT(O59,1)="R"),LEFT(O59,2),LEFT(O59,1)),"")</f>
        <v/>
      </c>
      <c r="BH59" s="132" t="str">
        <f t="shared" ref="BH59" si="740">IF($E60="H",IF(OR(LEFT(P59,1)="T",LEFT(P59,1)="R"),LEFT(P59,2),LEFT(P59,1)),"")</f>
        <v/>
      </c>
      <c r="BI59" s="132" t="str">
        <f t="shared" ref="BI59" si="741">IF($E60="H",IF(OR(LEFT(Q59,1)="T",LEFT(Q59,1)="R"),LEFT(Q59,2),LEFT(Q59,1)),"")</f>
        <v/>
      </c>
      <c r="BJ59" s="132" t="str">
        <f t="shared" ref="BJ59" si="742">IF($E60="H",IF(OR(LEFT(R59,1)="T",LEFT(R59,1)="R"),LEFT(R59,2),LEFT(R59,1)),"")</f>
        <v/>
      </c>
      <c r="BK59" s="132" t="str">
        <f t="shared" ref="BK59" si="743">IF($E60="H",IF(OR(LEFT(S59,1)="T",LEFT(S59,1)="R"),LEFT(S59,2),LEFT(S59,1)),"")</f>
        <v/>
      </c>
      <c r="BL59" s="132" t="str">
        <f t="shared" ref="BL59" si="744">IF($E60="H",IF(OR(LEFT(T59,1)="T",LEFT(T59,1)="R"),LEFT(T59,2),LEFT(T59,1)),"")</f>
        <v/>
      </c>
      <c r="BM59" s="132" t="str">
        <f t="shared" ref="BM59" si="745">IF($E60="H",IF(OR(LEFT(U59,1)="T",LEFT(U59,1)="R"),LEFT(U59,2),LEFT(U59,1)),"")</f>
        <v/>
      </c>
      <c r="BN59" s="132" t="str">
        <f t="shared" ref="BN59" si="746">IF($E60="H",IF(OR(LEFT(V59,1)="T",LEFT(V59,1)="R"),LEFT(V59,2),LEFT(V59,1)),"")</f>
        <v/>
      </c>
      <c r="BO59" s="132" t="str">
        <f t="shared" ref="BO59" si="747">IF($E60="H",IF(OR(LEFT(W59,1)="T",LEFT(W59,1)="R"),LEFT(W59,2),LEFT(W59,1)),"")</f>
        <v/>
      </c>
      <c r="BP59" s="132" t="str">
        <f t="shared" ref="BP59" si="748">IF($E60="H",IF(OR(LEFT(X59,1)="T",LEFT(X59,1)="R"),LEFT(X59,2),LEFT(X59,1)),"")</f>
        <v/>
      </c>
      <c r="BQ59" s="132" t="str">
        <f t="shared" ref="BQ59" si="749">IF($E60="H",IF(OR(LEFT(Y59,1)="T",LEFT(Y59,1)="R"),LEFT(Y59,2),LEFT(Y59,1)),"")</f>
        <v/>
      </c>
      <c r="BR59" s="132" t="str">
        <f t="shared" ref="BR59" si="750">IF($E60="H",IF(OR(LEFT(Z59,1)="T",LEFT(Z59,1)="R"),LEFT(Z59,2),LEFT(Z59,1)),"")</f>
        <v/>
      </c>
      <c r="BS59" s="132" t="str">
        <f t="shared" ref="BS59" si="751">IF($E60="H",IF(OR(LEFT(AA59,1)="T",LEFT(AA59,1)="R"),LEFT(AA59,2),LEFT(AA59,1)),"")</f>
        <v/>
      </c>
      <c r="BU59" s="144" t="str">
        <f t="shared" ref="BU59" si="752">IF(OR(LEFT(AB59,2)="PL",LEFT(AC59,2)="PL",LEFT(AD59,2)="PL",LEFT(AE59,2)="PL",LEFT(AF59,2)="PL"),IF($AS$17-AR59&gt;$BU$17,"X",""),"")</f>
        <v/>
      </c>
      <c r="BV59" s="144"/>
      <c r="BW59" s="135">
        <f t="shared" ref="BW59" si="753">IF(COUNTIF(BY59:CC59,BY59)&gt;1,1,IF(COUNTIF(BY59:CC59,BZ59)&gt;1,2,IF(COUNTIF(BY59:CC59,CA59)&gt;1,3,IF(COUNTIF(BY59:CC59,CB59)&gt;1,4,IF(COUNTIF(BY59:CC59,CC59)&gt;1,5,"")))))</f>
        <v>1</v>
      </c>
      <c r="BX59" s="135">
        <f t="shared" ref="BX59" si="754">IF(COUNTIF(BY59:CC59,CC59)&gt;1,5,IF(COUNTIF(BY59:CC59,CB59)&gt;1,4,IF(COUNTIF(BY59:CC59,CA59)&gt;1,3,IF(COUNTIF(BY59:CC59,BZ59)&gt;1,2,IF(COUNTIF(BY59:CC59,BY59)&gt;1,1,"")))))</f>
        <v>5</v>
      </c>
      <c r="BY59" s="132" t="str">
        <f t="shared" ref="BY59" si="755">IFERROR(IF($E60="H",IF(AB59="",BY$18,IF(ISNUMBER(_xlfn.NUMBERVALUE(LEFT(AB59,1))),MID(AB59,2,2),LEFT(AB59,2))),""),"")</f>
        <v/>
      </c>
      <c r="BZ59" s="132" t="str">
        <f t="shared" ref="BZ59" si="756">IFERROR(IF($E60="H",IF(AC59="",BZ$18,IF(ISNUMBER(_xlfn.NUMBERVALUE(LEFT(AC59,1))),MID(AC59,2,2),LEFT(AC59,2))),""),"")</f>
        <v/>
      </c>
      <c r="CA59" s="132" t="str">
        <f t="shared" ref="CA59" si="757">IFERROR(IF($E60="H",IF(AD59="",CA$18,IF(ISNUMBER(_xlfn.NUMBERVALUE(LEFT(AD59,1))),MID(AD59,2,2),LEFT(AD59,2))),""),"")</f>
        <v/>
      </c>
      <c r="CB59" s="132" t="str">
        <f t="shared" ref="CB59" si="758">IFERROR(IF($E60="H",IF(AE59="",CB$18,IF(ISNUMBER(_xlfn.NUMBERVALUE(LEFT(AE59,1))),MID(AE59,2,2),LEFT(AE59,2))),""),"")</f>
        <v/>
      </c>
      <c r="CC59" s="132" t="str">
        <f t="shared" ref="CC59" si="759">IFERROR(IF($E60="H",IF(AF59="",CC$18,IF(ISNUMBER(_xlfn.NUMBERVALUE(LEFT(AF59,1))),MID(AF59,2,2),LEFT(AF59,2))),""),"")</f>
        <v/>
      </c>
      <c r="CE59" s="135" t="str">
        <f t="shared" ref="CE59" si="760">IF(E60=3,_xlfn.NUMBERVALUE(LEFT(J59,1)),"")</f>
        <v/>
      </c>
    </row>
    <row r="60" spans="1:83" x14ac:dyDescent="0.25">
      <c r="A60" s="42"/>
      <c r="B60" s="43"/>
      <c r="C60" s="43"/>
      <c r="D60" s="43"/>
      <c r="E60" s="21" t="str">
        <f t="shared" ref="E60" si="761">IF(F59="Acrobatic","PA",IF(F59="Acrobatic Airborn","A",IF(F59="Acrobatic Balance","B",IF(F59="Acrobatic Combined","C",IF(F59="Acrobatic Platform","P",IF(F59="Technical Required Element",3,IF(LEFT(F59,4)="Hybr","H","")))))))</f>
        <v/>
      </c>
      <c r="F60" s="21" t="str">
        <f>IF(OR(F59="Acrobatic Airborn",F59="Acrobatic Balance",F59="Acrobatic Combined",F59="Acrobatic Platform"),"Acrobatic",IF(AND(F59="Hybrid - Thrust",AU59="X"),"Hybrid - Thrust - X",IF(AND(F59="Hybrid - 720",AU59="X"),"Hybrid - 720 - X","")))</f>
        <v/>
      </c>
      <c r="G60" s="45"/>
      <c r="H60" s="68" t="str">
        <f t="shared" si="2"/>
        <v/>
      </c>
      <c r="I60" s="69"/>
      <c r="J60" s="16">
        <f>IFERROR(IF($E60="",0,IF(AND($E60="H",$F$8&lt;&gt;"Acrobatic"),VLOOKUP(J59,HybridDDX,2,FALSE),IF($E60="PA",VLOOKUP(J59,AcroPairDDX,2,FALSE),IF(OR($E60="A",$E60="B",$E60="C",$E60="P"),0,IF($E60=3,VLOOKUP(J59,TreDDX,2,FALSE),0))))),0)</f>
        <v>0</v>
      </c>
      <c r="K60" s="16">
        <f>IFERROR(IF($E60="",0,IF(AND($E60="H",$F$8&lt;&gt;"Acrobatic"),VLOOKUP(K59,HybridDDX,2,FALSE),IF($E60="PA",0,IF($E60="A",SUMPRODUCT(--EXACT(K59,AcroADD2),AcroADD2X),IF($E60="B",SUMPRODUCT(--EXACT(K59,AcroBDD2),AcroBDD2X),IF($E60="C",SUMPRODUCT(--EXACT(K59,AcroCDD2),AcroCDD2X),IF($E60="P",SUMPRODUCT(--EXACT(K59,AcroPDD2),AcroPDD2X),IF($E60=3,0,0)))))))),0)</f>
        <v>0</v>
      </c>
      <c r="L60" s="16">
        <f t="array" ref="L60">IFERROR(IF($E60="",0,IF(AND($E60="H",$F$8&lt;&gt;"Acrobatic"),VLOOKUP(L59,HybridDDX,2,FALSE),IF($E60="PA",0,IF($E60="A",SUMPRODUCT(--EXACT(L59,AcroADD3),AcroADD3X),IF($E60="B",SUMPRODUCT(--EXACT(CONCATENATE(LEN(L59),L59),AcroBDD3W),AcroBDD3X),IF($E60="C",SUMPRODUCT(--EXACT(L59,AcroCDD3),AcroCDD3X),IF($E60="P",SUMPRODUCT(--EXACT(L59,AcroPDD3),AcroPDD3X),IF($E60=3,0,0)))))))),0)</f>
        <v>0</v>
      </c>
      <c r="M60" s="16">
        <f>IFERROR(IF($E60="",0,IF(AND($E60="H",$F$8&lt;&gt;"Acrobatic"),VLOOKUP(M59,HybridDDX,2,FALSE),IF($E60="PA",0,IF($E60="A",SUMPRODUCT(--EXACT(M59,AcroADD4p1),AcroADD4p1X),IF($E60="B",SUMPRODUCT(--EXACT(M59,AcroBDD4p1),AcroBDD4p1X),IF($E60="C",SUMPRODUCT(--EXACT(M59,AcroCDD4p1),AcroCDD4p1X),IF($E60="P",SUMPRODUCT(--EXACT(M59,AcroPDD4p1),AcroPDD4p1X),IF($E60=3,0,0)))))))),0)</f>
        <v>0</v>
      </c>
      <c r="N60" s="16">
        <f>IFERROR(IF($E60="",0,IF(AND($E60="H",$F$8&lt;&gt;"Acrobatic"),VLOOKUP(N59,HybridDDX,2,FALSE),IF($E60="PA",0,IF($E60="A",SUMPRODUCT(--EXACT(N59,AcroADD4p2),AcroADD4p2X),IF($E60="B",SUMPRODUCT(--EXACT(N59,AcroBDD4p2),AcroBDD4p2X),IF($E60="C",SUMPRODUCT(--EXACT(N59,AcroCDD4p2),AcroCDD4p2X),IF($E60="P",SUMPRODUCT(--EXACT(N59,AcroPDD4p2),AcroPDD4p2X),IF($E60=3,0,0)))))))),0)</f>
        <v>0</v>
      </c>
      <c r="O60" s="16">
        <f>IFERROR(IF($E60="",0,IF(AND($E60="H",$F$8&lt;&gt;"Acrobatic"),VLOOKUP(O59,HybridDDX,2,FALSE),IF($E60="PA",0,IF($E60="A",SUMPRODUCT(--EXACT(O59,AcroADD5),AcroADD5X),IF($E60="B",SUMPRODUCT(--EXACT(O59,AcroBDD5),AcroBDD5X),IF($E60="C",SUMPRODUCT(--EXACT(O59,AcroCDD5),AcroCDD5X),IF($E60="P",SUMPRODUCT(--EXACT(O59,AcroPDD5),AcroPDD5X),IF($E60=3,0,0)))))))),0)</f>
        <v>0</v>
      </c>
      <c r="P60" s="16">
        <f>IFERROR(IF($E60="",0,IF(AND($E60="H",$F$8&lt;&gt;"Acrobatic"),VLOOKUP(P59,HybridDDX,2,FALSE),IF($E60="C",SUMPRODUCT(--EXACT(P59,AcroCDD6),AcroCDD6X),0))),0)</f>
        <v>0</v>
      </c>
      <c r="Q60" s="16">
        <f t="shared" ref="Q60:AA60" si="762">IFERROR(IF($E60="",0,IF(AND($E60="H",$F$8&lt;&gt;"Acrobatic"),VLOOKUP(Q59,HybridDDX,2,FALSE),0)),0)</f>
        <v>0</v>
      </c>
      <c r="R60" s="16">
        <f t="shared" si="762"/>
        <v>0</v>
      </c>
      <c r="S60" s="16">
        <f t="shared" si="762"/>
        <v>0</v>
      </c>
      <c r="T60" s="16">
        <f t="shared" si="762"/>
        <v>0</v>
      </c>
      <c r="U60" s="16">
        <f t="shared" si="762"/>
        <v>0</v>
      </c>
      <c r="V60" s="16">
        <f t="shared" si="762"/>
        <v>0</v>
      </c>
      <c r="W60" s="16">
        <f t="shared" si="762"/>
        <v>0</v>
      </c>
      <c r="X60" s="16">
        <f t="shared" si="762"/>
        <v>0</v>
      </c>
      <c r="Y60" s="16">
        <f t="shared" si="762"/>
        <v>0</v>
      </c>
      <c r="Z60" s="16">
        <f t="shared" si="762"/>
        <v>0</v>
      </c>
      <c r="AA60" s="16">
        <f t="shared" si="762"/>
        <v>0</v>
      </c>
      <c r="AB60" s="28">
        <f>IFERROR(IF($E60="",0,IF(AND($E60="H",$F$8&lt;&gt;"Acrobatic"),VLOOKUP(AB59,BonusDDX,2,FALSE),IF($E60="A",VLOOKUP(AB59,AcroABonusX,2,FALSE),IF($E60="B",VLOOKUP(AB59,AcroBBonusX,2,FALSE),IF($E60="C",VLOOKUP(AB59,AcroCBonusX,2,FALSE),IF($E60="P",VLOOKUP(AB59,AcroPBonusX,2,FALSE),0)))))),0)</f>
        <v>0</v>
      </c>
      <c r="AC60" s="16">
        <f>IFERROR(IF($E60="",0,IF(AND($E60="H",$F$8&lt;&gt;"Acrobatic"),VLOOKUP(AC59,BonusDDX,2,FALSE),IF($E60="A",VLOOKUP(AC59,AcroABonusX,2,FALSE),IF($E60="B",VLOOKUP(AC59,AcroBBonusX,2,FALSE),IF($E60="C",VLOOKUP(AC59,AcroCBonusX,2,FALSE),IF($E60="P",VLOOKUP(AC59,AcroPBonusX,2,FALSE),0)))))),0)</f>
        <v>0</v>
      </c>
      <c r="AD60" s="16">
        <f>IFERROR(IF($E60="",0,IF(AND($E60="H",$F$8&lt;&gt;"Acrobatic"),VLOOKUP(AD59,BonusDDX,2,FALSE),0)),0)</f>
        <v>0</v>
      </c>
      <c r="AE60" s="16">
        <f>IFERROR(IF($E60="",0,IF(AND($E60="H",$F$8&lt;&gt;"Acrobatic"),VLOOKUP(AE59,BonusDDX,2,FALSE),0)),0)</f>
        <v>0</v>
      </c>
      <c r="AF60" s="46">
        <f>IFERROR(IF($E60="",0,IF(AND($E60="H",$F$8&lt;&gt;"Acrobatic"),VLOOKUP(AF59,BonusDDX,2,FALSE),0)),0)</f>
        <v>0</v>
      </c>
      <c r="AG60" s="71">
        <f t="shared" ref="AG60" si="763">SUM(H60:AF60)</f>
        <v>0</v>
      </c>
      <c r="AH60" s="98"/>
      <c r="AI60" s="98"/>
      <c r="AJ60" s="145"/>
      <c r="AK60" s="145"/>
      <c r="AL60" s="145"/>
      <c r="AM60" s="145"/>
      <c r="AN60" s="145"/>
      <c r="AO60" s="145"/>
      <c r="AP60" s="145"/>
      <c r="AQ60" s="145"/>
      <c r="AR60" s="146" t="str">
        <f>IFERROR(IF($N$7="X",IF(AND(E60="C",AG60&gt;2.45),"X",IF(AND(E60="A",AG60&gt;2.65),"X",IF(AND(E60="B",AG60&gt;2.6),"X",IF(AND(E60="P",AG60&gt;2.5),"X","")))),""),"")</f>
        <v/>
      </c>
      <c r="AS60" s="137"/>
      <c r="AU60" s="132"/>
    </row>
    <row r="61" spans="1:83" x14ac:dyDescent="0.25">
      <c r="A61" s="42" t="str">
        <f t="shared" ref="A61" si="764">IF(AND(E59="",A59&lt;&gt;""),IF(AS59=$AS$18,"",IF(C59&lt;&gt;"",IF(D59=59,MINUTE(AS59)+1,MINUTE(AS59)),"")),"")</f>
        <v/>
      </c>
      <c r="B61" s="43" t="str">
        <f t="shared" ref="B61" si="765">IF(AND(E59="",B59&lt;&gt;""),IF(AS59=$AS$18,"",IF(C59&lt;&gt;"",IF(D59=59,0,SECOND(AS59)+1),"")),"")</f>
        <v/>
      </c>
      <c r="C61" s="54"/>
      <c r="D61" s="54"/>
      <c r="E61" s="9"/>
      <c r="F61" s="55"/>
      <c r="G61" s="45" t="str">
        <f>IF(F61&lt;&gt;"",IF(OR(F61="Transition",F61="Connected Surface Movment",F61="Cadense"),0,MAX($G$19:G60)+1),"")</f>
        <v/>
      </c>
      <c r="H61" s="68" t="str">
        <f t="shared" ref="H61" si="766">IF(E62=3,"",IF(E62="H","BM",IF(E62="PA",IF(OR(LEFT(J61,1)="L",LEFT(J61,1)="S"),"A-Pair-Lift",IF(OR(LEFT(J61,1)="W",LEFT(J61,1)="T"),"A-Pair-Throw",IF(LEFT(J61,1)="J","A-Pair-Jump","A-Pair"))),IF(OR(E62="A",E62="B",E62="C",E62="P"),CONCATENATE("Acro-",J61),""))))</f>
        <v/>
      </c>
      <c r="I61" s="69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6"/>
      <c r="AC61" s="161"/>
      <c r="AD61" s="161"/>
      <c r="AE61" s="161"/>
      <c r="AF61" s="167"/>
      <c r="AG61" s="47"/>
      <c r="AH61" s="97"/>
      <c r="AI61" s="97"/>
      <c r="AJ61" s="134"/>
      <c r="AK61" s="134"/>
      <c r="AL61" s="134"/>
      <c r="AM61" s="134"/>
      <c r="AN61" s="134"/>
      <c r="AO61" s="134"/>
      <c r="AP61" s="134"/>
      <c r="AQ61" s="134"/>
      <c r="AR61" s="137" t="str">
        <f>IFERROR(TIME(0,A61,B61),"")</f>
        <v/>
      </c>
      <c r="AS61" s="138">
        <f t="shared" ref="AS61" si="767">IFERROR(TIME(0,C61,D61),"")</f>
        <v>0</v>
      </c>
      <c r="AU61" s="132" t="str">
        <f>IF(AND(F61="Hybrid - Thrust",OR(LEFT(J61,1)="T",LEFT(K61,1)="T",LEFT(L61,1)="T",LEFT(JX61,1)="T",LEFT(M61,1)="T",LEFT(N61,1)="T",LEFT(O61,1)="T",LEFT(P61,1)="T",LEFT(Q61,1)="T",LEFT(R61,1)="T",LEFT(S61,1)="T",LEFT(T61,1)="T",LEFT(U61,1)="T",LEFT(V61,1)="T",LEFT(W61,1)="T",LEFT(X61,1)="T",LEFT(Y61,1)="T",LEFT(Z61,1)="T",LEFT(AA61,1)="T")),IF(OR(LEN(J61)=2,LEN(K61)=2,LEN(L61)=2,LEN(M61)=2,LEN(N61)=2,LEN(O61)=2,LEN(P61)=2,LEN(Q61)=2,LEN(R61)=2,LEN(S61)=2,LEN(T61)=2,LEN(U61)=2,LEN(V61)=2,LEN(W61)=2,LEN(X61)=2,LEN(Y61)=2,LEN(Z61)=2,LEN(AA61)=2),"X",""),IF(AND(F61="Hybrid - 720",OR(J61="R3",K61="R3",L61="R3",M61="R3",N61="R3",O61="R3",P61="R3",Q61="R3",R61="R3",S61="R3",T61="R3",U61="R3",V61="R3",W61="R3",X61="R3",Y61="R3",Z61="R3",AA61="R3")),"X",""))</f>
        <v/>
      </c>
      <c r="AW61" s="135">
        <f t="shared" ref="AW61" si="768">COUNTIF(BB61:BS61,"=T1")+COUNTIF(BB61:BS61,"=T2")+COUNTIF(BB61:BS61,"=T3")+COUNTIF(BB61:BS61,"=T4")</f>
        <v>0</v>
      </c>
      <c r="AX61" s="135">
        <f t="shared" ref="AX61" si="769">COUNTIF(BB61:BS61,"=r1")+COUNTIF(BB61:BS61,"=r2")+COUNTIF(BB61:BS61,"=r3")+COUNTIF(BB61:BS61,"=r4")</f>
        <v>0</v>
      </c>
      <c r="AY61" s="135">
        <f t="shared" ref="AY61" si="770">COUNTIF(BB61:BS61,"=A")</f>
        <v>0</v>
      </c>
      <c r="AZ61" s="135">
        <f t="shared" ref="AZ61" si="771">COUNTIF(BB61:BS61,"=F")</f>
        <v>0</v>
      </c>
      <c r="BA61" s="135">
        <f t="shared" ref="BA61" si="772">COUNTIF(BB61:BS61,"=C")</f>
        <v>0</v>
      </c>
      <c r="BB61" s="132" t="str">
        <f t="shared" ref="BB61" si="773">IF($E62="H",IF(OR(LEFT(J61,1)="T",LEFT(J61,1)="R"),LEFT(J61,2),LEFT(J61,1)),"")</f>
        <v/>
      </c>
      <c r="BC61" s="132" t="str">
        <f t="shared" ref="BC61" si="774">IF($E62="H",IF(OR(LEFT(K61,1)="T",LEFT(K61,1)="R"),LEFT(K61,2),LEFT(K61,1)),"")</f>
        <v/>
      </c>
      <c r="BD61" s="132" t="str">
        <f t="shared" ref="BD61" si="775">IF($E62="H",IF(OR(LEFT(L61,1)="T",LEFT(L61,1)="R"),LEFT(L61,2),LEFT(L61,1)),"")</f>
        <v/>
      </c>
      <c r="BE61" s="132" t="str">
        <f t="shared" ref="BE61" si="776">IF($E62="H",IF(OR(LEFT(M61,1)="T",LEFT(M61,1)="R"),LEFT(M61,2),LEFT(M61,1)),"")</f>
        <v/>
      </c>
      <c r="BF61" s="132" t="str">
        <f t="shared" ref="BF61" si="777">IF($E62="H",IF(OR(LEFT(N61,1)="T",LEFT(N61,1)="R"),LEFT(N61,2),LEFT(N61,1)),"")</f>
        <v/>
      </c>
      <c r="BG61" s="132" t="str">
        <f t="shared" ref="BG61" si="778">IF($E62="H",IF(OR(LEFT(O61,1)="T",LEFT(O61,1)="R"),LEFT(O61,2),LEFT(O61,1)),"")</f>
        <v/>
      </c>
      <c r="BH61" s="132" t="str">
        <f t="shared" ref="BH61" si="779">IF($E62="H",IF(OR(LEFT(P61,1)="T",LEFT(P61,1)="R"),LEFT(P61,2),LEFT(P61,1)),"")</f>
        <v/>
      </c>
      <c r="BI61" s="132" t="str">
        <f t="shared" ref="BI61" si="780">IF($E62="H",IF(OR(LEFT(Q61,1)="T",LEFT(Q61,1)="R"),LEFT(Q61,2),LEFT(Q61,1)),"")</f>
        <v/>
      </c>
      <c r="BJ61" s="132" t="str">
        <f t="shared" ref="BJ61" si="781">IF($E62="H",IF(OR(LEFT(R61,1)="T",LEFT(R61,1)="R"),LEFT(R61,2),LEFT(R61,1)),"")</f>
        <v/>
      </c>
      <c r="BK61" s="132" t="str">
        <f t="shared" ref="BK61" si="782">IF($E62="H",IF(OR(LEFT(S61,1)="T",LEFT(S61,1)="R"),LEFT(S61,2),LEFT(S61,1)),"")</f>
        <v/>
      </c>
      <c r="BL61" s="132" t="str">
        <f t="shared" ref="BL61" si="783">IF($E62="H",IF(OR(LEFT(T61,1)="T",LEFT(T61,1)="R"),LEFT(T61,2),LEFT(T61,1)),"")</f>
        <v/>
      </c>
      <c r="BM61" s="132" t="str">
        <f t="shared" ref="BM61" si="784">IF($E62="H",IF(OR(LEFT(U61,1)="T",LEFT(U61,1)="R"),LEFT(U61,2),LEFT(U61,1)),"")</f>
        <v/>
      </c>
      <c r="BN61" s="132" t="str">
        <f t="shared" ref="BN61" si="785">IF($E62="H",IF(OR(LEFT(V61,1)="T",LEFT(V61,1)="R"),LEFT(V61,2),LEFT(V61,1)),"")</f>
        <v/>
      </c>
      <c r="BO61" s="132" t="str">
        <f t="shared" ref="BO61" si="786">IF($E62="H",IF(OR(LEFT(W61,1)="T",LEFT(W61,1)="R"),LEFT(W61,2),LEFT(W61,1)),"")</f>
        <v/>
      </c>
      <c r="BP61" s="132" t="str">
        <f t="shared" ref="BP61" si="787">IF($E62="H",IF(OR(LEFT(X61,1)="T",LEFT(X61,1)="R"),LEFT(X61,2),LEFT(X61,1)),"")</f>
        <v/>
      </c>
      <c r="BQ61" s="132" t="str">
        <f t="shared" ref="BQ61" si="788">IF($E62="H",IF(OR(LEFT(Y61,1)="T",LEFT(Y61,1)="R"),LEFT(Y61,2),LEFT(Y61,1)),"")</f>
        <v/>
      </c>
      <c r="BR61" s="132" t="str">
        <f t="shared" ref="BR61" si="789">IF($E62="H",IF(OR(LEFT(Z61,1)="T",LEFT(Z61,1)="R"),LEFT(Z61,2),LEFT(Z61,1)),"")</f>
        <v/>
      </c>
      <c r="BS61" s="132" t="str">
        <f t="shared" ref="BS61" si="790">IF($E62="H",IF(OR(LEFT(AA61,1)="T",LEFT(AA61,1)="R"),LEFT(AA61,2),LEFT(AA61,1)),"")</f>
        <v/>
      </c>
      <c r="BU61" s="144" t="str">
        <f t="shared" ref="BU61" si="791">IF(OR(LEFT(AB61,2)="PL",LEFT(AC61,2)="PL",LEFT(AD61,2)="PL",LEFT(AE61,2)="PL",LEFT(AF61,2)="PL"),IF($AS$17-AR61&gt;$BU$17,"X",""),"")</f>
        <v/>
      </c>
      <c r="BV61" s="144"/>
      <c r="BW61" s="135">
        <f t="shared" ref="BW61" si="792">IF(COUNTIF(BY61:CC61,BY61)&gt;1,1,IF(COUNTIF(BY61:CC61,BZ61)&gt;1,2,IF(COUNTIF(BY61:CC61,CA61)&gt;1,3,IF(COUNTIF(BY61:CC61,CB61)&gt;1,4,IF(COUNTIF(BY61:CC61,CC61)&gt;1,5,"")))))</f>
        <v>1</v>
      </c>
      <c r="BX61" s="135">
        <f t="shared" ref="BX61" si="793">IF(COUNTIF(BY61:CC61,CC61)&gt;1,5,IF(COUNTIF(BY61:CC61,CB61)&gt;1,4,IF(COUNTIF(BY61:CC61,CA61)&gt;1,3,IF(COUNTIF(BY61:CC61,BZ61)&gt;1,2,IF(COUNTIF(BY61:CC61,BY61)&gt;1,1,"")))))</f>
        <v>5</v>
      </c>
      <c r="BY61" s="132" t="str">
        <f t="shared" ref="BY61" si="794">IFERROR(IF($E62="H",IF(AB61="",BY$18,IF(ISNUMBER(_xlfn.NUMBERVALUE(LEFT(AB61,1))),MID(AB61,2,2),LEFT(AB61,2))),""),"")</f>
        <v/>
      </c>
      <c r="BZ61" s="132" t="str">
        <f t="shared" ref="BZ61" si="795">IFERROR(IF($E62="H",IF(AC61="",BZ$18,IF(ISNUMBER(_xlfn.NUMBERVALUE(LEFT(AC61,1))),MID(AC61,2,2),LEFT(AC61,2))),""),"")</f>
        <v/>
      </c>
      <c r="CA61" s="132" t="str">
        <f t="shared" ref="CA61" si="796">IFERROR(IF($E62="H",IF(AD61="",CA$18,IF(ISNUMBER(_xlfn.NUMBERVALUE(LEFT(AD61,1))),MID(AD61,2,2),LEFT(AD61,2))),""),"")</f>
        <v/>
      </c>
      <c r="CB61" s="132" t="str">
        <f t="shared" ref="CB61" si="797">IFERROR(IF($E62="H",IF(AE61="",CB$18,IF(ISNUMBER(_xlfn.NUMBERVALUE(LEFT(AE61,1))),MID(AE61,2,2),LEFT(AE61,2))),""),"")</f>
        <v/>
      </c>
      <c r="CC61" s="132" t="str">
        <f t="shared" ref="CC61" si="798">IFERROR(IF($E62="H",IF(AF61="",CC$18,IF(ISNUMBER(_xlfn.NUMBERVALUE(LEFT(AF61,1))),MID(AF61,2,2),LEFT(AF61,2))),""),"")</f>
        <v/>
      </c>
      <c r="CE61" s="135" t="str">
        <f t="shared" ref="CE61" si="799">IF(E62=3,_xlfn.NUMBERVALUE(LEFT(J61,1)),"")</f>
        <v/>
      </c>
    </row>
    <row r="62" spans="1:83" x14ac:dyDescent="0.25">
      <c r="A62" s="42"/>
      <c r="B62" s="43"/>
      <c r="C62" s="43"/>
      <c r="D62" s="43"/>
      <c r="E62" s="21" t="str">
        <f t="shared" ref="E62" si="800">IF(F61="Acrobatic","PA",IF(F61="Acrobatic Airborn","A",IF(F61="Acrobatic Balance","B",IF(F61="Acrobatic Combined","C",IF(F61="Acrobatic Platform","P",IF(F61="Technical Required Element",3,IF(LEFT(F61,4)="Hybr","H","")))))))</f>
        <v/>
      </c>
      <c r="F62" s="21" t="str">
        <f>IF(OR(F61="Acrobatic Airborn",F61="Acrobatic Balance",F61="Acrobatic Combined",F61="Acrobatic Platform"),"Acrobatic",IF(AND(F61="Hybrid - Thrust",AU61="X"),"Hybrid - Thrust - X",IF(AND(F61="Hybrid - 720",AU61="X"),"Hybrid - 720 - X","")))</f>
        <v/>
      </c>
      <c r="G62" s="45"/>
      <c r="H62" s="68" t="str">
        <f t="shared" si="2"/>
        <v/>
      </c>
      <c r="I62" s="69"/>
      <c r="J62" s="16">
        <f>IFERROR(IF($E62="",0,IF(AND($E62="H",$F$8&lt;&gt;"Acrobatic"),VLOOKUP(J61,HybridDDX,2,FALSE),IF($E62="PA",VLOOKUP(J61,AcroPairDDX,2,FALSE),IF(OR($E62="A",$E62="B",$E62="C",$E62="P"),0,IF($E62=3,VLOOKUP(J61,TreDDX,2,FALSE),0))))),0)</f>
        <v>0</v>
      </c>
      <c r="K62" s="16">
        <f>IFERROR(IF($E62="",0,IF(AND($E62="H",$F$8&lt;&gt;"Acrobatic"),VLOOKUP(K61,HybridDDX,2,FALSE),IF($E62="PA",0,IF($E62="A",SUMPRODUCT(--EXACT(K61,AcroADD2),AcroADD2X),IF($E62="B",SUMPRODUCT(--EXACT(K61,AcroBDD2),AcroBDD2X),IF($E62="C",SUMPRODUCT(--EXACT(K61,AcroCDD2),AcroCDD2X),IF($E62="P",SUMPRODUCT(--EXACT(K61,AcroPDD2),AcroPDD2X),IF($E62=3,0,0)))))))),0)</f>
        <v>0</v>
      </c>
      <c r="L62" s="16">
        <f t="array" ref="L62">IFERROR(IF($E62="",0,IF(AND($E62="H",$F$8&lt;&gt;"Acrobatic"),VLOOKUP(L61,HybridDDX,2,FALSE),IF($E62="PA",0,IF($E62="A",SUMPRODUCT(--EXACT(L61,AcroADD3),AcroADD3X),IF($E62="B",SUMPRODUCT(--EXACT(CONCATENATE(LEN(L61),L61),AcroBDD3W),AcroBDD3X),IF($E62="C",SUMPRODUCT(--EXACT(L61,AcroCDD3),AcroCDD3X),IF($E62="P",SUMPRODUCT(--EXACT(L61,AcroPDD3),AcroPDD3X),IF($E62=3,0,0)))))))),0)</f>
        <v>0</v>
      </c>
      <c r="M62" s="16">
        <f>IFERROR(IF($E62="",0,IF(AND($E62="H",$F$8&lt;&gt;"Acrobatic"),VLOOKUP(M61,HybridDDX,2,FALSE),IF($E62="PA",0,IF($E62="A",SUMPRODUCT(--EXACT(M61,AcroADD4p1),AcroADD4p1X),IF($E62="B",SUMPRODUCT(--EXACT(M61,AcroBDD4p1),AcroBDD4p1X),IF($E62="C",SUMPRODUCT(--EXACT(M61,AcroCDD4p1),AcroCDD4p1X),IF($E62="P",SUMPRODUCT(--EXACT(M61,AcroPDD4p1),AcroPDD4p1X),IF($E62=3,0,0)))))))),0)</f>
        <v>0</v>
      </c>
      <c r="N62" s="16">
        <f>IFERROR(IF($E62="",0,IF(AND($E62="H",$F$8&lt;&gt;"Acrobatic"),VLOOKUP(N61,HybridDDX,2,FALSE),IF($E62="PA",0,IF($E62="A",SUMPRODUCT(--EXACT(N61,AcroADD4p2),AcroADD4p2X),IF($E62="B",SUMPRODUCT(--EXACT(N61,AcroBDD4p2),AcroBDD4p2X),IF($E62="C",SUMPRODUCT(--EXACT(N61,AcroCDD4p2),AcroCDD4p2X),IF($E62="P",SUMPRODUCT(--EXACT(N61,AcroPDD4p2),AcroPDD4p2X),IF($E62=3,0,0)))))))),0)</f>
        <v>0</v>
      </c>
      <c r="O62" s="16">
        <f>IFERROR(IF($E62="",0,IF(AND($E62="H",$F$8&lt;&gt;"Acrobatic"),VLOOKUP(O61,HybridDDX,2,FALSE),IF($E62="PA",0,IF($E62="A",SUMPRODUCT(--EXACT(O61,AcroADD5),AcroADD5X),IF($E62="B",SUMPRODUCT(--EXACT(O61,AcroBDD5),AcroBDD5X),IF($E62="C",SUMPRODUCT(--EXACT(O61,AcroCDD5),AcroCDD5X),IF($E62="P",SUMPRODUCT(--EXACT(O61,AcroPDD5),AcroPDD5X),IF($E62=3,0,0)))))))),0)</f>
        <v>0</v>
      </c>
      <c r="P62" s="16">
        <f>IFERROR(IF($E62="",0,IF(AND($E62="H",$F$8&lt;&gt;"Acrobatic"),VLOOKUP(P61,HybridDDX,2,FALSE),IF($E62="C",SUMPRODUCT(--EXACT(P61,AcroCDD6),AcroCDD6X),0))),0)</f>
        <v>0</v>
      </c>
      <c r="Q62" s="16">
        <f t="shared" ref="Q62:AA62" si="801">IFERROR(IF($E62="",0,IF(AND($E62="H",$F$8&lt;&gt;"Acrobatic"),VLOOKUP(Q61,HybridDDX,2,FALSE),0)),0)</f>
        <v>0</v>
      </c>
      <c r="R62" s="16">
        <f t="shared" si="801"/>
        <v>0</v>
      </c>
      <c r="S62" s="16">
        <f t="shared" si="801"/>
        <v>0</v>
      </c>
      <c r="T62" s="16">
        <f t="shared" si="801"/>
        <v>0</v>
      </c>
      <c r="U62" s="16">
        <f t="shared" si="801"/>
        <v>0</v>
      </c>
      <c r="V62" s="16">
        <f t="shared" si="801"/>
        <v>0</v>
      </c>
      <c r="W62" s="16">
        <f t="shared" si="801"/>
        <v>0</v>
      </c>
      <c r="X62" s="16">
        <f t="shared" si="801"/>
        <v>0</v>
      </c>
      <c r="Y62" s="16">
        <f t="shared" si="801"/>
        <v>0</v>
      </c>
      <c r="Z62" s="16">
        <f t="shared" si="801"/>
        <v>0</v>
      </c>
      <c r="AA62" s="16">
        <f t="shared" si="801"/>
        <v>0</v>
      </c>
      <c r="AB62" s="28">
        <f>IFERROR(IF($E62="",0,IF(AND($E62="H",$F$8&lt;&gt;"Acrobatic"),VLOOKUP(AB61,BonusDDX,2,FALSE),IF($E62="A",VLOOKUP(AB61,AcroABonusX,2,FALSE),IF($E62="B",VLOOKUP(AB61,AcroBBonusX,2,FALSE),IF($E62="C",VLOOKUP(AB61,AcroCBonusX,2,FALSE),IF($E62="P",VLOOKUP(AB61,AcroPBonusX,2,FALSE),0)))))),0)</f>
        <v>0</v>
      </c>
      <c r="AC62" s="16">
        <f>IFERROR(IF($E62="",0,IF(AND($E62="H",$F$8&lt;&gt;"Acrobatic"),VLOOKUP(AC61,BonusDDX,2,FALSE),IF($E62="A",VLOOKUP(AC61,AcroABonusX,2,FALSE),IF($E62="B",VLOOKUP(AC61,AcroBBonusX,2,FALSE),IF($E62="C",VLOOKUP(AC61,AcroCBonusX,2,FALSE),IF($E62="P",VLOOKUP(AC61,AcroPBonusX,2,FALSE),0)))))),0)</f>
        <v>0</v>
      </c>
      <c r="AD62" s="16">
        <f>IFERROR(IF($E62="",0,IF(AND($E62="H",$F$8&lt;&gt;"Acrobatic"),VLOOKUP(AD61,BonusDDX,2,FALSE),0)),0)</f>
        <v>0</v>
      </c>
      <c r="AE62" s="16">
        <f>IFERROR(IF($E62="",0,IF(AND($E62="H",$F$8&lt;&gt;"Acrobatic"),VLOOKUP(AE61,BonusDDX,2,FALSE),0)),0)</f>
        <v>0</v>
      </c>
      <c r="AF62" s="46">
        <f>IFERROR(IF($E62="",0,IF(AND($E62="H",$F$8&lt;&gt;"Acrobatic"),VLOOKUP(AF61,BonusDDX,2,FALSE),0)),0)</f>
        <v>0</v>
      </c>
      <c r="AG62" s="71">
        <f t="shared" ref="AG62" si="802">SUM(H62:AF62)</f>
        <v>0</v>
      </c>
      <c r="AH62" s="98"/>
      <c r="AI62" s="98"/>
      <c r="AJ62" s="145"/>
      <c r="AK62" s="145"/>
      <c r="AL62" s="145"/>
      <c r="AM62" s="145"/>
      <c r="AN62" s="145"/>
      <c r="AO62" s="145"/>
      <c r="AP62" s="145"/>
      <c r="AQ62" s="145"/>
      <c r="AR62" s="146" t="str">
        <f>IFERROR(IF($N$7="X",IF(AND(E62="C",AG62&gt;2.45),"X",IF(AND(E62="A",AG62&gt;2.65),"X",IF(AND(E62="B",AG62&gt;2.6),"X",IF(AND(E62="P",AG62&gt;2.5),"X","")))),""),"")</f>
        <v/>
      </c>
      <c r="AS62" s="137"/>
      <c r="AU62" s="132"/>
    </row>
    <row r="63" spans="1:83" x14ac:dyDescent="0.25">
      <c r="A63" s="42" t="str">
        <f t="shared" ref="A63" si="803">IF(AND(E61="",A61&lt;&gt;""),IF(AS61=$AS$18,"",IF(C61&lt;&gt;"",IF(D61=59,MINUTE(AS61)+1,MINUTE(AS61)),"")),"")</f>
        <v/>
      </c>
      <c r="B63" s="43" t="str">
        <f t="shared" ref="B63" si="804">IF(AND(E61="",B61&lt;&gt;""),IF(AS61=$AS$18,"",IF(C61&lt;&gt;"",IF(D61=59,0,SECOND(AS61)+1),"")),"")</f>
        <v/>
      </c>
      <c r="C63" s="54"/>
      <c r="D63" s="54"/>
      <c r="E63" s="9"/>
      <c r="F63" s="55"/>
      <c r="G63" s="45" t="str">
        <f>IF(F63&lt;&gt;"",IF(OR(F63="Transition",F63="Connected Surface Movment",F63="Cadense"),0,MAX($G$19:G62)+1),"")</f>
        <v/>
      </c>
      <c r="H63" s="68" t="str">
        <f t="shared" ref="H63" si="805">IF(E64=3,"",IF(E64="H","BM",IF(E64="PA",IF(OR(LEFT(J63,1)="L",LEFT(J63,1)="S"),"A-Pair-Lift",IF(OR(LEFT(J63,1)="W",LEFT(J63,1)="T"),"A-Pair-Throw",IF(LEFT(J63,1)="J","A-Pair-Jump","A-Pair"))),IF(OR(E64="A",E64="B",E64="C",E64="P"),CONCATENATE("Acro-",J63),""))))</f>
        <v/>
      </c>
      <c r="I63" s="69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6"/>
      <c r="AC63" s="161"/>
      <c r="AD63" s="161"/>
      <c r="AE63" s="161"/>
      <c r="AF63" s="167"/>
      <c r="AG63" s="47"/>
      <c r="AH63" s="97"/>
      <c r="AI63" s="97"/>
      <c r="AJ63" s="134"/>
      <c r="AK63" s="134"/>
      <c r="AL63" s="134"/>
      <c r="AM63" s="134"/>
      <c r="AN63" s="134"/>
      <c r="AO63" s="134"/>
      <c r="AP63" s="134"/>
      <c r="AQ63" s="134"/>
      <c r="AR63" s="137" t="str">
        <f>IFERROR(TIME(0,A63,B63),"")</f>
        <v/>
      </c>
      <c r="AS63" s="138">
        <f t="shared" ref="AS63" si="806">IFERROR(TIME(0,C63,D63),"")</f>
        <v>0</v>
      </c>
      <c r="AU63" s="132" t="str">
        <f>IF(AND(F63="Hybrid - Thrust",OR(LEFT(J63,1)="T",LEFT(K63,1)="T",LEFT(L63,1)="T",LEFT(JX63,1)="T",LEFT(M63,1)="T",LEFT(N63,1)="T",LEFT(O63,1)="T",LEFT(P63,1)="T",LEFT(Q63,1)="T",LEFT(R63,1)="T",LEFT(S63,1)="T",LEFT(T63,1)="T",LEFT(U63,1)="T",LEFT(V63,1)="T",LEFT(W63,1)="T",LEFT(X63,1)="T",LEFT(Y63,1)="T",LEFT(Z63,1)="T",LEFT(AA63,1)="T")),IF(OR(LEN(J63)=2,LEN(K63)=2,LEN(L63)=2,LEN(M63)=2,LEN(N63)=2,LEN(O63)=2,LEN(P63)=2,LEN(Q63)=2,LEN(R63)=2,LEN(S63)=2,LEN(T63)=2,LEN(U63)=2,LEN(V63)=2,LEN(W63)=2,LEN(X63)=2,LEN(Y63)=2,LEN(Z63)=2,LEN(AA63)=2),"X",""),IF(AND(F63="Hybrid - 720",OR(J63="R3",K63="R3",L63="R3",M63="R3",N63="R3",O63="R3",P63="R3",Q63="R3",R63="R3",S63="R3",T63="R3",U63="R3",V63="R3",W63="R3",X63="R3",Y63="R3",Z63="R3",AA63="R3")),"X",""))</f>
        <v/>
      </c>
      <c r="AW63" s="135">
        <f t="shared" ref="AW63" si="807">COUNTIF(BB63:BS63,"=T1")+COUNTIF(BB63:BS63,"=T2")+COUNTIF(BB63:BS63,"=T3")+COUNTIF(BB63:BS63,"=T4")</f>
        <v>0</v>
      </c>
      <c r="AX63" s="135">
        <f t="shared" ref="AX63" si="808">COUNTIF(BB63:BS63,"=r1")+COUNTIF(BB63:BS63,"=r2")+COUNTIF(BB63:BS63,"=r3")+COUNTIF(BB63:BS63,"=r4")</f>
        <v>0</v>
      </c>
      <c r="AY63" s="135">
        <f t="shared" ref="AY63" si="809">COUNTIF(BB63:BS63,"=A")</f>
        <v>0</v>
      </c>
      <c r="AZ63" s="135">
        <f t="shared" ref="AZ63" si="810">COUNTIF(BB63:BS63,"=F")</f>
        <v>0</v>
      </c>
      <c r="BA63" s="135">
        <f t="shared" ref="BA63" si="811">COUNTIF(BB63:BS63,"=C")</f>
        <v>0</v>
      </c>
      <c r="BB63" s="132" t="str">
        <f t="shared" ref="BB63" si="812">IF($E64="H",IF(OR(LEFT(J63,1)="T",LEFT(J63,1)="R"),LEFT(J63,2),LEFT(J63,1)),"")</f>
        <v/>
      </c>
      <c r="BC63" s="132" t="str">
        <f t="shared" ref="BC63" si="813">IF($E64="H",IF(OR(LEFT(K63,1)="T",LEFT(K63,1)="R"),LEFT(K63,2),LEFT(K63,1)),"")</f>
        <v/>
      </c>
      <c r="BD63" s="132" t="str">
        <f t="shared" ref="BD63" si="814">IF($E64="H",IF(OR(LEFT(L63,1)="T",LEFT(L63,1)="R"),LEFT(L63,2),LEFT(L63,1)),"")</f>
        <v/>
      </c>
      <c r="BE63" s="132" t="str">
        <f t="shared" ref="BE63" si="815">IF($E64="H",IF(OR(LEFT(M63,1)="T",LEFT(M63,1)="R"),LEFT(M63,2),LEFT(M63,1)),"")</f>
        <v/>
      </c>
      <c r="BF63" s="132" t="str">
        <f t="shared" ref="BF63" si="816">IF($E64="H",IF(OR(LEFT(N63,1)="T",LEFT(N63,1)="R"),LEFT(N63,2),LEFT(N63,1)),"")</f>
        <v/>
      </c>
      <c r="BG63" s="132" t="str">
        <f t="shared" ref="BG63" si="817">IF($E64="H",IF(OR(LEFT(O63,1)="T",LEFT(O63,1)="R"),LEFT(O63,2),LEFT(O63,1)),"")</f>
        <v/>
      </c>
      <c r="BH63" s="132" t="str">
        <f t="shared" ref="BH63" si="818">IF($E64="H",IF(OR(LEFT(P63,1)="T",LEFT(P63,1)="R"),LEFT(P63,2),LEFT(P63,1)),"")</f>
        <v/>
      </c>
      <c r="BI63" s="132" t="str">
        <f t="shared" ref="BI63" si="819">IF($E64="H",IF(OR(LEFT(Q63,1)="T",LEFT(Q63,1)="R"),LEFT(Q63,2),LEFT(Q63,1)),"")</f>
        <v/>
      </c>
      <c r="BJ63" s="132" t="str">
        <f t="shared" ref="BJ63" si="820">IF($E64="H",IF(OR(LEFT(R63,1)="T",LEFT(R63,1)="R"),LEFT(R63,2),LEFT(R63,1)),"")</f>
        <v/>
      </c>
      <c r="BK63" s="132" t="str">
        <f t="shared" ref="BK63" si="821">IF($E64="H",IF(OR(LEFT(S63,1)="T",LEFT(S63,1)="R"),LEFT(S63,2),LEFT(S63,1)),"")</f>
        <v/>
      </c>
      <c r="BL63" s="132" t="str">
        <f t="shared" ref="BL63" si="822">IF($E64="H",IF(OR(LEFT(T63,1)="T",LEFT(T63,1)="R"),LEFT(T63,2),LEFT(T63,1)),"")</f>
        <v/>
      </c>
      <c r="BM63" s="132" t="str">
        <f t="shared" ref="BM63" si="823">IF($E64="H",IF(OR(LEFT(U63,1)="T",LEFT(U63,1)="R"),LEFT(U63,2),LEFT(U63,1)),"")</f>
        <v/>
      </c>
      <c r="BN63" s="132" t="str">
        <f t="shared" ref="BN63" si="824">IF($E64="H",IF(OR(LEFT(V63,1)="T",LEFT(V63,1)="R"),LEFT(V63,2),LEFT(V63,1)),"")</f>
        <v/>
      </c>
      <c r="BO63" s="132" t="str">
        <f t="shared" ref="BO63" si="825">IF($E64="H",IF(OR(LEFT(W63,1)="T",LEFT(W63,1)="R"),LEFT(W63,2),LEFT(W63,1)),"")</f>
        <v/>
      </c>
      <c r="BP63" s="132" t="str">
        <f t="shared" ref="BP63" si="826">IF($E64="H",IF(OR(LEFT(X63,1)="T",LEFT(X63,1)="R"),LEFT(X63,2),LEFT(X63,1)),"")</f>
        <v/>
      </c>
      <c r="BQ63" s="132" t="str">
        <f t="shared" ref="BQ63" si="827">IF($E64="H",IF(OR(LEFT(Y63,1)="T",LEFT(Y63,1)="R"),LEFT(Y63,2),LEFT(Y63,1)),"")</f>
        <v/>
      </c>
      <c r="BR63" s="132" t="str">
        <f t="shared" ref="BR63" si="828">IF($E64="H",IF(OR(LEFT(Z63,1)="T",LEFT(Z63,1)="R"),LEFT(Z63,2),LEFT(Z63,1)),"")</f>
        <v/>
      </c>
      <c r="BS63" s="132" t="str">
        <f t="shared" ref="BS63" si="829">IF($E64="H",IF(OR(LEFT(AA63,1)="T",LEFT(AA63,1)="R"),LEFT(AA63,2),LEFT(AA63,1)),"")</f>
        <v/>
      </c>
      <c r="BU63" s="144" t="str">
        <f t="shared" ref="BU63" si="830">IF(OR(LEFT(AB63,2)="PL",LEFT(AC63,2)="PL",LEFT(AD63,2)="PL",LEFT(AE63,2)="PL",LEFT(AF63,2)="PL"),IF($AS$17-AR63&gt;$BU$17,"X",""),"")</f>
        <v/>
      </c>
      <c r="BV63" s="144"/>
      <c r="BW63" s="135">
        <f t="shared" ref="BW63" si="831">IF(COUNTIF(BY63:CC63,BY63)&gt;1,1,IF(COUNTIF(BY63:CC63,BZ63)&gt;1,2,IF(COUNTIF(BY63:CC63,CA63)&gt;1,3,IF(COUNTIF(BY63:CC63,CB63)&gt;1,4,IF(COUNTIF(BY63:CC63,CC63)&gt;1,5,"")))))</f>
        <v>1</v>
      </c>
      <c r="BX63" s="135">
        <f t="shared" ref="BX63" si="832">IF(COUNTIF(BY63:CC63,CC63)&gt;1,5,IF(COUNTIF(BY63:CC63,CB63)&gt;1,4,IF(COUNTIF(BY63:CC63,CA63)&gt;1,3,IF(COUNTIF(BY63:CC63,BZ63)&gt;1,2,IF(COUNTIF(BY63:CC63,BY63)&gt;1,1,"")))))</f>
        <v>5</v>
      </c>
      <c r="BY63" s="132" t="str">
        <f t="shared" ref="BY63" si="833">IFERROR(IF($E64="H",IF(AB63="",BY$18,IF(ISNUMBER(_xlfn.NUMBERVALUE(LEFT(AB63,1))),MID(AB63,2,2),LEFT(AB63,2))),""),"")</f>
        <v/>
      </c>
      <c r="BZ63" s="132" t="str">
        <f t="shared" ref="BZ63" si="834">IFERROR(IF($E64="H",IF(AC63="",BZ$18,IF(ISNUMBER(_xlfn.NUMBERVALUE(LEFT(AC63,1))),MID(AC63,2,2),LEFT(AC63,2))),""),"")</f>
        <v/>
      </c>
      <c r="CA63" s="132" t="str">
        <f t="shared" ref="CA63" si="835">IFERROR(IF($E64="H",IF(AD63="",CA$18,IF(ISNUMBER(_xlfn.NUMBERVALUE(LEFT(AD63,1))),MID(AD63,2,2),LEFT(AD63,2))),""),"")</f>
        <v/>
      </c>
      <c r="CB63" s="132" t="str">
        <f t="shared" ref="CB63" si="836">IFERROR(IF($E64="H",IF(AE63="",CB$18,IF(ISNUMBER(_xlfn.NUMBERVALUE(LEFT(AE63,1))),MID(AE63,2,2),LEFT(AE63,2))),""),"")</f>
        <v/>
      </c>
      <c r="CC63" s="132" t="str">
        <f t="shared" ref="CC63" si="837">IFERROR(IF($E64="H",IF(AF63="",CC$18,IF(ISNUMBER(_xlfn.NUMBERVALUE(LEFT(AF63,1))),MID(AF63,2,2),LEFT(AF63,2))),""),"")</f>
        <v/>
      </c>
      <c r="CE63" s="135" t="str">
        <f t="shared" ref="CE63" si="838">IF(E64=3,_xlfn.NUMBERVALUE(LEFT(J63,1)),"")</f>
        <v/>
      </c>
    </row>
    <row r="64" spans="1:83" x14ac:dyDescent="0.25">
      <c r="A64" s="42"/>
      <c r="B64" s="43"/>
      <c r="C64" s="43"/>
      <c r="D64" s="43"/>
      <c r="E64" s="21" t="str">
        <f t="shared" ref="E64" si="839">IF(F63="Acrobatic","PA",IF(F63="Acrobatic Airborn","A",IF(F63="Acrobatic Balance","B",IF(F63="Acrobatic Combined","C",IF(F63="Acrobatic Platform","P",IF(F63="Technical Required Element",3,IF(LEFT(F63,4)="Hybr","H","")))))))</f>
        <v/>
      </c>
      <c r="F64" s="21" t="str">
        <f>IF(OR(F63="Acrobatic Airborn",F63="Acrobatic Balance",F63="Acrobatic Combined",F63="Acrobatic Platform"),"Acrobatic",IF(AND(F63="Hybrid - Thrust",AU63="X"),"Hybrid - Thrust - X",IF(AND(F63="Hybrid - 720",AU63="X"),"Hybrid - 720 - X","")))</f>
        <v/>
      </c>
      <c r="G64" s="45"/>
      <c r="H64" s="68" t="str">
        <f t="shared" si="2"/>
        <v/>
      </c>
      <c r="I64" s="69"/>
      <c r="J64" s="16">
        <f>IFERROR(IF($E64="",0,IF(AND($E64="H",$F$8&lt;&gt;"Acrobatic"),VLOOKUP(J63,HybridDDX,2,FALSE),IF($E64="PA",VLOOKUP(J63,AcroPairDDX,2,FALSE),IF(OR($E64="A",$E64="B",$E64="C",$E64="P"),0,IF($E64=3,VLOOKUP(J63,TreDDX,2,FALSE),0))))),0)</f>
        <v>0</v>
      </c>
      <c r="K64" s="16">
        <f>IFERROR(IF($E64="",0,IF(AND($E64="H",$F$8&lt;&gt;"Acrobatic"),VLOOKUP(K63,HybridDDX,2,FALSE),IF($E64="PA",0,IF($E64="A",SUMPRODUCT(--EXACT(K63,AcroADD2),AcroADD2X),IF($E64="B",SUMPRODUCT(--EXACT(K63,AcroBDD2),AcroBDD2X),IF($E64="C",SUMPRODUCT(--EXACT(K63,AcroCDD2),AcroCDD2X),IF($E64="P",SUMPRODUCT(--EXACT(K63,AcroPDD2),AcroPDD2X),IF($E64=3,0,0)))))))),0)</f>
        <v>0</v>
      </c>
      <c r="L64" s="16">
        <f t="array" ref="L64">IFERROR(IF($E64="",0,IF(AND($E64="H",$F$8&lt;&gt;"Acrobatic"),VLOOKUP(L63,HybridDDX,2,FALSE),IF($E64="PA",0,IF($E64="A",SUMPRODUCT(--EXACT(L63,AcroADD3),AcroADD3X),IF($E64="B",SUMPRODUCT(--EXACT(CONCATENATE(LEN(L63),L63),AcroBDD3W),AcroBDD3X),IF($E64="C",SUMPRODUCT(--EXACT(L63,AcroCDD3),AcroCDD3X),IF($E64="P",SUMPRODUCT(--EXACT(L63,AcroPDD3),AcroPDD3X),IF($E64=3,0,0)))))))),0)</f>
        <v>0</v>
      </c>
      <c r="M64" s="16">
        <f>IFERROR(IF($E64="",0,IF(AND($E64="H",$F$8&lt;&gt;"Acrobatic"),VLOOKUP(M63,HybridDDX,2,FALSE),IF($E64="PA",0,IF($E64="A",SUMPRODUCT(--EXACT(M63,AcroADD4p1),AcroADD4p1X),IF($E64="B",SUMPRODUCT(--EXACT(M63,AcroBDD4p1),AcroBDD4p1X),IF($E64="C",SUMPRODUCT(--EXACT(M63,AcroCDD4p1),AcroCDD4p1X),IF($E64="P",SUMPRODUCT(--EXACT(M63,AcroPDD4p1),AcroPDD4p1X),IF($E64=3,0,0)))))))),0)</f>
        <v>0</v>
      </c>
      <c r="N64" s="16">
        <f>IFERROR(IF($E64="",0,IF(AND($E64="H",$F$8&lt;&gt;"Acrobatic"),VLOOKUP(N63,HybridDDX,2,FALSE),IF($E64="PA",0,IF($E64="A",SUMPRODUCT(--EXACT(N63,AcroADD4p2),AcroADD4p2X),IF($E64="B",SUMPRODUCT(--EXACT(N63,AcroBDD4p2),AcroBDD4p2X),IF($E64="C",SUMPRODUCT(--EXACT(N63,AcroCDD4p2),AcroCDD4p2X),IF($E64="P",SUMPRODUCT(--EXACT(N63,AcroPDD4p2),AcroPDD4p2X),IF($E64=3,0,0)))))))),0)</f>
        <v>0</v>
      </c>
      <c r="O64" s="16">
        <f>IFERROR(IF($E64="",0,IF(AND($E64="H",$F$8&lt;&gt;"Acrobatic"),VLOOKUP(O63,HybridDDX,2,FALSE),IF($E64="PA",0,IF($E64="A",SUMPRODUCT(--EXACT(O63,AcroADD5),AcroADD5X),IF($E64="B",SUMPRODUCT(--EXACT(O63,AcroBDD5),AcroBDD5X),IF($E64="C",SUMPRODUCT(--EXACT(O63,AcroCDD5),AcroCDD5X),IF($E64="P",SUMPRODUCT(--EXACT(O63,AcroPDD5),AcroPDD5X),IF($E64=3,0,0)))))))),0)</f>
        <v>0</v>
      </c>
      <c r="P64" s="16">
        <f>IFERROR(IF($E64="",0,IF(AND($E64="H",$F$8&lt;&gt;"Acrobatic"),VLOOKUP(P63,HybridDDX,2,FALSE),IF($E64="C",SUMPRODUCT(--EXACT(P63,AcroCDD6),AcroCDD6X),0))),0)</f>
        <v>0</v>
      </c>
      <c r="Q64" s="16">
        <f t="shared" ref="Q64:AA64" si="840">IFERROR(IF($E64="",0,IF(AND($E64="H",$F$8&lt;&gt;"Acrobatic"),VLOOKUP(Q63,HybridDDX,2,FALSE),0)),0)</f>
        <v>0</v>
      </c>
      <c r="R64" s="16">
        <f t="shared" si="840"/>
        <v>0</v>
      </c>
      <c r="S64" s="16">
        <f t="shared" si="840"/>
        <v>0</v>
      </c>
      <c r="T64" s="16">
        <f t="shared" si="840"/>
        <v>0</v>
      </c>
      <c r="U64" s="16">
        <f t="shared" si="840"/>
        <v>0</v>
      </c>
      <c r="V64" s="16">
        <f t="shared" si="840"/>
        <v>0</v>
      </c>
      <c r="W64" s="16">
        <f t="shared" si="840"/>
        <v>0</v>
      </c>
      <c r="X64" s="16">
        <f t="shared" si="840"/>
        <v>0</v>
      </c>
      <c r="Y64" s="16">
        <f t="shared" si="840"/>
        <v>0</v>
      </c>
      <c r="Z64" s="16">
        <f t="shared" si="840"/>
        <v>0</v>
      </c>
      <c r="AA64" s="16">
        <f t="shared" si="840"/>
        <v>0</v>
      </c>
      <c r="AB64" s="28">
        <f>IFERROR(IF($E64="",0,IF(AND($E64="H",$F$8&lt;&gt;"Acrobatic"),VLOOKUP(AB63,BonusDDX,2,FALSE),IF($E64="A",VLOOKUP(AB63,AcroABonusX,2,FALSE),IF($E64="B",VLOOKUP(AB63,AcroBBonusX,2,FALSE),IF($E64="C",VLOOKUP(AB63,AcroCBonusX,2,FALSE),IF($E64="P",VLOOKUP(AB63,AcroPBonusX,2,FALSE),0)))))),0)</f>
        <v>0</v>
      </c>
      <c r="AC64" s="16">
        <f>IFERROR(IF($E64="",0,IF(AND($E64="H",$F$8&lt;&gt;"Acrobatic"),VLOOKUP(AC63,BonusDDX,2,FALSE),IF($E64="A",VLOOKUP(AC63,AcroABonusX,2,FALSE),IF($E64="B",VLOOKUP(AC63,AcroBBonusX,2,FALSE),IF($E64="C",VLOOKUP(AC63,AcroCBonusX,2,FALSE),IF($E64="P",VLOOKUP(AC63,AcroPBonusX,2,FALSE),0)))))),0)</f>
        <v>0</v>
      </c>
      <c r="AD64" s="16">
        <f>IFERROR(IF($E64="",0,IF(AND($E64="H",$F$8&lt;&gt;"Acrobatic"),VLOOKUP(AD63,BonusDDX,2,FALSE),0)),0)</f>
        <v>0</v>
      </c>
      <c r="AE64" s="16">
        <f>IFERROR(IF($E64="",0,IF(AND($E64="H",$F$8&lt;&gt;"Acrobatic"),VLOOKUP(AE63,BonusDDX,2,FALSE),0)),0)</f>
        <v>0</v>
      </c>
      <c r="AF64" s="46">
        <f>IFERROR(IF($E64="",0,IF(AND($E64="H",$F$8&lt;&gt;"Acrobatic"),VLOOKUP(AF63,BonusDDX,2,FALSE),0)),0)</f>
        <v>0</v>
      </c>
      <c r="AG64" s="71">
        <f t="shared" ref="AG64" si="841">SUM(H64:AF64)</f>
        <v>0</v>
      </c>
      <c r="AH64" s="98"/>
      <c r="AI64" s="98"/>
      <c r="AJ64" s="145"/>
      <c r="AK64" s="145"/>
      <c r="AL64" s="145"/>
      <c r="AM64" s="145"/>
      <c r="AN64" s="145"/>
      <c r="AO64" s="145"/>
      <c r="AP64" s="145"/>
      <c r="AQ64" s="145"/>
      <c r="AR64" s="146" t="str">
        <f>IFERROR(IF($N$7="X",IF(AND(E64="C",AG64&gt;2.45),"X",IF(AND(E64="A",AG64&gt;2.65),"X",IF(AND(E64="B",AG64&gt;2.6),"X",IF(AND(E64="P",AG64&gt;2.5),"X","")))),""),"")</f>
        <v/>
      </c>
      <c r="AS64" s="137"/>
      <c r="AU64" s="132"/>
    </row>
    <row r="65" spans="1:83" x14ac:dyDescent="0.25">
      <c r="A65" s="42" t="str">
        <f t="shared" ref="A65" si="842">IF(AND(E63="",A63&lt;&gt;""),IF(AS63=$AS$18,"",IF(C63&lt;&gt;"",IF(D63=59,MINUTE(AS63)+1,MINUTE(AS63)),"")),"")</f>
        <v/>
      </c>
      <c r="B65" s="43" t="str">
        <f t="shared" ref="B65" si="843">IF(AND(E63="",B63&lt;&gt;""),IF(AS63=$AS$18,"",IF(C63&lt;&gt;"",IF(D63=59,0,SECOND(AS63)+1),"")),"")</f>
        <v/>
      </c>
      <c r="C65" s="54"/>
      <c r="D65" s="54"/>
      <c r="E65" s="9"/>
      <c r="F65" s="55"/>
      <c r="G65" s="45" t="str">
        <f>IF(F65&lt;&gt;"",IF(OR(F65="Transition",F65="Connected Surface Movment",F65="Cadense"),0,MAX($G$19:G64)+1),"")</f>
        <v/>
      </c>
      <c r="H65" s="68" t="str">
        <f t="shared" ref="H65" si="844">IF(E66=3,"",IF(E66="H","BM",IF(E66="PA",IF(OR(LEFT(J65,1)="L",LEFT(J65,1)="S"),"A-Pair-Lift",IF(OR(LEFT(J65,1)="W",LEFT(J65,1)="T"),"A-Pair-Throw",IF(LEFT(J65,1)="J","A-Pair-Jump","A-Pair"))),IF(OR(E66="A",E66="B",E66="C",E66="P"),CONCATENATE("Acro-",J65),""))))</f>
        <v/>
      </c>
      <c r="I65" s="69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6"/>
      <c r="AC65" s="161"/>
      <c r="AD65" s="161"/>
      <c r="AE65" s="161"/>
      <c r="AF65" s="167"/>
      <c r="AG65" s="47"/>
      <c r="AH65" s="97"/>
      <c r="AI65" s="97"/>
      <c r="AJ65" s="134"/>
      <c r="AK65" s="134"/>
      <c r="AL65" s="134"/>
      <c r="AM65" s="134"/>
      <c r="AN65" s="134"/>
      <c r="AO65" s="134"/>
      <c r="AP65" s="134"/>
      <c r="AQ65" s="134"/>
      <c r="AR65" s="137" t="str">
        <f>IFERROR(TIME(0,A65,B65),"")</f>
        <v/>
      </c>
      <c r="AS65" s="138">
        <f t="shared" ref="AS65" si="845">IFERROR(TIME(0,C65,D65),"")</f>
        <v>0</v>
      </c>
      <c r="AU65" s="132" t="str">
        <f>IF(AND(F65="Hybrid - Thrust",OR(LEFT(J65,1)="T",LEFT(K65,1)="T",LEFT(L65,1)="T",LEFT(JX65,1)="T",LEFT(M65,1)="T",LEFT(N65,1)="T",LEFT(O65,1)="T",LEFT(P65,1)="T",LEFT(Q65,1)="T",LEFT(R65,1)="T",LEFT(S65,1)="T",LEFT(T65,1)="T",LEFT(U65,1)="T",LEFT(V65,1)="T",LEFT(W65,1)="T",LEFT(X65,1)="T",LEFT(Y65,1)="T",LEFT(Z65,1)="T",LEFT(AA65,1)="T")),IF(OR(LEN(J65)=2,LEN(K65)=2,LEN(L65)=2,LEN(M65)=2,LEN(N65)=2,LEN(O65)=2,LEN(P65)=2,LEN(Q65)=2,LEN(R65)=2,LEN(S65)=2,LEN(T65)=2,LEN(U65)=2,LEN(V65)=2,LEN(W65)=2,LEN(X65)=2,LEN(Y65)=2,LEN(Z65)=2,LEN(AA65)=2),"X",""),IF(AND(F65="Hybrid - 720",OR(J65="R3",K65="R3",L65="R3",M65="R3",N65="R3",O65="R3",P65="R3",Q65="R3",R65="R3",S65="R3",T65="R3",U65="R3",V65="R3",W65="R3",X65="R3",Y65="R3",Z65="R3",AA65="R3")),"X",""))</f>
        <v/>
      </c>
      <c r="AW65" s="135">
        <f t="shared" ref="AW65" si="846">COUNTIF(BB65:BS65,"=T1")+COUNTIF(BB65:BS65,"=T2")+COUNTIF(BB65:BS65,"=T3")+COUNTIF(BB65:BS65,"=T4")</f>
        <v>0</v>
      </c>
      <c r="AX65" s="135">
        <f t="shared" ref="AX65" si="847">COUNTIF(BB65:BS65,"=r1")+COUNTIF(BB65:BS65,"=r2")+COUNTIF(BB65:BS65,"=r3")+COUNTIF(BB65:BS65,"=r4")</f>
        <v>0</v>
      </c>
      <c r="AY65" s="135">
        <f t="shared" ref="AY65" si="848">COUNTIF(BB65:BS65,"=A")</f>
        <v>0</v>
      </c>
      <c r="AZ65" s="135">
        <f t="shared" ref="AZ65" si="849">COUNTIF(BB65:BS65,"=F")</f>
        <v>0</v>
      </c>
      <c r="BA65" s="135">
        <f t="shared" ref="BA65" si="850">COUNTIF(BB65:BS65,"=C")</f>
        <v>0</v>
      </c>
      <c r="BB65" s="132" t="str">
        <f t="shared" ref="BB65" si="851">IF($E66="H",IF(OR(LEFT(J65,1)="T",LEFT(J65,1)="R"),LEFT(J65,2),LEFT(J65,1)),"")</f>
        <v/>
      </c>
      <c r="BC65" s="132" t="str">
        <f t="shared" ref="BC65" si="852">IF($E66="H",IF(OR(LEFT(K65,1)="T",LEFT(K65,1)="R"),LEFT(K65,2),LEFT(K65,1)),"")</f>
        <v/>
      </c>
      <c r="BD65" s="132" t="str">
        <f t="shared" ref="BD65" si="853">IF($E66="H",IF(OR(LEFT(L65,1)="T",LEFT(L65,1)="R"),LEFT(L65,2),LEFT(L65,1)),"")</f>
        <v/>
      </c>
      <c r="BE65" s="132" t="str">
        <f t="shared" ref="BE65" si="854">IF($E66="H",IF(OR(LEFT(M65,1)="T",LEFT(M65,1)="R"),LEFT(M65,2),LEFT(M65,1)),"")</f>
        <v/>
      </c>
      <c r="BF65" s="132" t="str">
        <f t="shared" ref="BF65" si="855">IF($E66="H",IF(OR(LEFT(N65,1)="T",LEFT(N65,1)="R"),LEFT(N65,2),LEFT(N65,1)),"")</f>
        <v/>
      </c>
      <c r="BG65" s="132" t="str">
        <f t="shared" ref="BG65" si="856">IF($E66="H",IF(OR(LEFT(O65,1)="T",LEFT(O65,1)="R"),LEFT(O65,2),LEFT(O65,1)),"")</f>
        <v/>
      </c>
      <c r="BH65" s="132" t="str">
        <f t="shared" ref="BH65" si="857">IF($E66="H",IF(OR(LEFT(P65,1)="T",LEFT(P65,1)="R"),LEFT(P65,2),LEFT(P65,1)),"")</f>
        <v/>
      </c>
      <c r="BI65" s="132" t="str">
        <f t="shared" ref="BI65" si="858">IF($E66="H",IF(OR(LEFT(Q65,1)="T",LEFT(Q65,1)="R"),LEFT(Q65,2),LEFT(Q65,1)),"")</f>
        <v/>
      </c>
      <c r="BJ65" s="132" t="str">
        <f t="shared" ref="BJ65" si="859">IF($E66="H",IF(OR(LEFT(R65,1)="T",LEFT(R65,1)="R"),LEFT(R65,2),LEFT(R65,1)),"")</f>
        <v/>
      </c>
      <c r="BK65" s="132" t="str">
        <f t="shared" ref="BK65" si="860">IF($E66="H",IF(OR(LEFT(S65,1)="T",LEFT(S65,1)="R"),LEFT(S65,2),LEFT(S65,1)),"")</f>
        <v/>
      </c>
      <c r="BL65" s="132" t="str">
        <f t="shared" ref="BL65" si="861">IF($E66="H",IF(OR(LEFT(T65,1)="T",LEFT(T65,1)="R"),LEFT(T65,2),LEFT(T65,1)),"")</f>
        <v/>
      </c>
      <c r="BM65" s="132" t="str">
        <f t="shared" ref="BM65" si="862">IF($E66="H",IF(OR(LEFT(U65,1)="T",LEFT(U65,1)="R"),LEFT(U65,2),LEFT(U65,1)),"")</f>
        <v/>
      </c>
      <c r="BN65" s="132" t="str">
        <f t="shared" ref="BN65" si="863">IF($E66="H",IF(OR(LEFT(V65,1)="T",LEFT(V65,1)="R"),LEFT(V65,2),LEFT(V65,1)),"")</f>
        <v/>
      </c>
      <c r="BO65" s="132" t="str">
        <f t="shared" ref="BO65" si="864">IF($E66="H",IF(OR(LEFT(W65,1)="T",LEFT(W65,1)="R"),LEFT(W65,2),LEFT(W65,1)),"")</f>
        <v/>
      </c>
      <c r="BP65" s="132" t="str">
        <f t="shared" ref="BP65" si="865">IF($E66="H",IF(OR(LEFT(X65,1)="T",LEFT(X65,1)="R"),LEFT(X65,2),LEFT(X65,1)),"")</f>
        <v/>
      </c>
      <c r="BQ65" s="132" t="str">
        <f t="shared" ref="BQ65" si="866">IF($E66="H",IF(OR(LEFT(Y65,1)="T",LEFT(Y65,1)="R"),LEFT(Y65,2),LEFT(Y65,1)),"")</f>
        <v/>
      </c>
      <c r="BR65" s="132" t="str">
        <f t="shared" ref="BR65" si="867">IF($E66="H",IF(OR(LEFT(Z65,1)="T",LEFT(Z65,1)="R"),LEFT(Z65,2),LEFT(Z65,1)),"")</f>
        <v/>
      </c>
      <c r="BS65" s="132" t="str">
        <f t="shared" ref="BS65" si="868">IF($E66="H",IF(OR(LEFT(AA65,1)="T",LEFT(AA65,1)="R"),LEFT(AA65,2),LEFT(AA65,1)),"")</f>
        <v/>
      </c>
      <c r="BU65" s="144" t="str">
        <f t="shared" ref="BU65" si="869">IF(OR(LEFT(AB65,2)="PL",LEFT(AC65,2)="PL",LEFT(AD65,2)="PL",LEFT(AE65,2)="PL",LEFT(AF65,2)="PL"),IF($AS$17-AR65&gt;$BU$17,"X",""),"")</f>
        <v/>
      </c>
      <c r="BV65" s="144"/>
      <c r="BW65" s="135">
        <f t="shared" ref="BW65" si="870">IF(COUNTIF(BY65:CC65,BY65)&gt;1,1,IF(COUNTIF(BY65:CC65,BZ65)&gt;1,2,IF(COUNTIF(BY65:CC65,CA65)&gt;1,3,IF(COUNTIF(BY65:CC65,CB65)&gt;1,4,IF(COUNTIF(BY65:CC65,CC65)&gt;1,5,"")))))</f>
        <v>1</v>
      </c>
      <c r="BX65" s="135">
        <f t="shared" ref="BX65" si="871">IF(COUNTIF(BY65:CC65,CC65)&gt;1,5,IF(COUNTIF(BY65:CC65,CB65)&gt;1,4,IF(COUNTIF(BY65:CC65,CA65)&gt;1,3,IF(COUNTIF(BY65:CC65,BZ65)&gt;1,2,IF(COUNTIF(BY65:CC65,BY65)&gt;1,1,"")))))</f>
        <v>5</v>
      </c>
      <c r="BY65" s="132" t="str">
        <f t="shared" ref="BY65" si="872">IFERROR(IF($E66="H",IF(AB65="",BY$18,IF(ISNUMBER(_xlfn.NUMBERVALUE(LEFT(AB65,1))),MID(AB65,2,2),LEFT(AB65,2))),""),"")</f>
        <v/>
      </c>
      <c r="BZ65" s="132" t="str">
        <f t="shared" ref="BZ65" si="873">IFERROR(IF($E66="H",IF(AC65="",BZ$18,IF(ISNUMBER(_xlfn.NUMBERVALUE(LEFT(AC65,1))),MID(AC65,2,2),LEFT(AC65,2))),""),"")</f>
        <v/>
      </c>
      <c r="CA65" s="132" t="str">
        <f t="shared" ref="CA65" si="874">IFERROR(IF($E66="H",IF(AD65="",CA$18,IF(ISNUMBER(_xlfn.NUMBERVALUE(LEFT(AD65,1))),MID(AD65,2,2),LEFT(AD65,2))),""),"")</f>
        <v/>
      </c>
      <c r="CB65" s="132" t="str">
        <f t="shared" ref="CB65" si="875">IFERROR(IF($E66="H",IF(AE65="",CB$18,IF(ISNUMBER(_xlfn.NUMBERVALUE(LEFT(AE65,1))),MID(AE65,2,2),LEFT(AE65,2))),""),"")</f>
        <v/>
      </c>
      <c r="CC65" s="132" t="str">
        <f t="shared" ref="CC65" si="876">IFERROR(IF($E66="H",IF(AF65="",CC$18,IF(ISNUMBER(_xlfn.NUMBERVALUE(LEFT(AF65,1))),MID(AF65,2,2),LEFT(AF65,2))),""),"")</f>
        <v/>
      </c>
      <c r="CE65" s="135" t="str">
        <f t="shared" ref="CE65" si="877">IF(E66=3,_xlfn.NUMBERVALUE(LEFT(J65,1)),"")</f>
        <v/>
      </c>
    </row>
    <row r="66" spans="1:83" x14ac:dyDescent="0.25">
      <c r="A66" s="42"/>
      <c r="B66" s="43"/>
      <c r="C66" s="43"/>
      <c r="D66" s="43"/>
      <c r="E66" s="21" t="str">
        <f t="shared" ref="E66" si="878">IF(F65="Acrobatic","PA",IF(F65="Acrobatic Airborn","A",IF(F65="Acrobatic Balance","B",IF(F65="Acrobatic Combined","C",IF(F65="Acrobatic Platform","P",IF(F65="Technical Required Element",3,IF(LEFT(F65,4)="Hybr","H","")))))))</f>
        <v/>
      </c>
      <c r="F66" s="21" t="str">
        <f>IF(OR(F65="Acrobatic Airborn",F65="Acrobatic Balance",F65="Acrobatic Combined",F65="Acrobatic Platform"),"Acrobatic",IF(AND(F65="Hybrid - Thrust",AU65="X"),"Hybrid - Thrust - X",IF(AND(F65="Hybrid - 720",AU65="X"),"Hybrid - 720 - X","")))</f>
        <v/>
      </c>
      <c r="G66" s="45"/>
      <c r="H66" s="68" t="str">
        <f t="shared" si="2"/>
        <v/>
      </c>
      <c r="I66" s="69"/>
      <c r="J66" s="16">
        <f>IFERROR(IF($E66="",0,IF(AND($E66="H",$F$8&lt;&gt;"Acrobatic"),VLOOKUP(J65,HybridDDX,2,FALSE),IF($E66="PA",VLOOKUP(J65,AcroPairDDX,2,FALSE),IF(OR($E66="A",$E66="B",$E66="C",$E66="P"),0,IF($E66=3,VLOOKUP(J65,TreDDX,2,FALSE),0))))),0)</f>
        <v>0</v>
      </c>
      <c r="K66" s="16">
        <f>IFERROR(IF($E66="",0,IF(AND($E66="H",$F$8&lt;&gt;"Acrobatic"),VLOOKUP(K65,HybridDDX,2,FALSE),IF($E66="PA",0,IF($E66="A",SUMPRODUCT(--EXACT(K65,AcroADD2),AcroADD2X),IF($E66="B",SUMPRODUCT(--EXACT(K65,AcroBDD2),AcroBDD2X),IF($E66="C",SUMPRODUCT(--EXACT(K65,AcroCDD2),AcroCDD2X),IF($E66="P",SUMPRODUCT(--EXACT(K65,AcroPDD2),AcroPDD2X),IF($E66=3,0,0)))))))),0)</f>
        <v>0</v>
      </c>
      <c r="L66" s="16">
        <f t="array" ref="L66">IFERROR(IF($E66="",0,IF(AND($E66="H",$F$8&lt;&gt;"Acrobatic"),VLOOKUP(L65,HybridDDX,2,FALSE),IF($E66="PA",0,IF($E66="A",SUMPRODUCT(--EXACT(L65,AcroADD3),AcroADD3X),IF($E66="B",SUMPRODUCT(--EXACT(CONCATENATE(LEN(L65),L65),AcroBDD3W),AcroBDD3X),IF($E66="C",SUMPRODUCT(--EXACT(L65,AcroCDD3),AcroCDD3X),IF($E66="P",SUMPRODUCT(--EXACT(L65,AcroPDD3),AcroPDD3X),IF($E66=3,0,0)))))))),0)</f>
        <v>0</v>
      </c>
      <c r="M66" s="16">
        <f>IFERROR(IF($E66="",0,IF(AND($E66="H",$F$8&lt;&gt;"Acrobatic"),VLOOKUP(M65,HybridDDX,2,FALSE),IF($E66="PA",0,IF($E66="A",SUMPRODUCT(--EXACT(M65,AcroADD4p1),AcroADD4p1X),IF($E66="B",SUMPRODUCT(--EXACT(M65,AcroBDD4p1),AcroBDD4p1X),IF($E66="C",SUMPRODUCT(--EXACT(M65,AcroCDD4p1),AcroCDD4p1X),IF($E66="P",SUMPRODUCT(--EXACT(M65,AcroPDD4p1),AcroPDD4p1X),IF($E66=3,0,0)))))))),0)</f>
        <v>0</v>
      </c>
      <c r="N66" s="16">
        <f>IFERROR(IF($E66="",0,IF(AND($E66="H",$F$8&lt;&gt;"Acrobatic"),VLOOKUP(N65,HybridDDX,2,FALSE),IF($E66="PA",0,IF($E66="A",SUMPRODUCT(--EXACT(N65,AcroADD4p2),AcroADD4p2X),IF($E66="B",SUMPRODUCT(--EXACT(N65,AcroBDD4p2),AcroBDD4p2X),IF($E66="C",SUMPRODUCT(--EXACT(N65,AcroCDD4p2),AcroCDD4p2X),IF($E66="P",SUMPRODUCT(--EXACT(N65,AcroPDD4p2),AcroPDD4p2X),IF($E66=3,0,0)))))))),0)</f>
        <v>0</v>
      </c>
      <c r="O66" s="16">
        <f>IFERROR(IF($E66="",0,IF(AND($E66="H",$F$8&lt;&gt;"Acrobatic"),VLOOKUP(O65,HybridDDX,2,FALSE),IF($E66="PA",0,IF($E66="A",SUMPRODUCT(--EXACT(O65,AcroADD5),AcroADD5X),IF($E66="B",SUMPRODUCT(--EXACT(O65,AcroBDD5),AcroBDD5X),IF($E66="C",SUMPRODUCT(--EXACT(O65,AcroCDD5),AcroCDD5X),IF($E66="P",SUMPRODUCT(--EXACT(O65,AcroPDD5),AcroPDD5X),IF($E66=3,0,0)))))))),0)</f>
        <v>0</v>
      </c>
      <c r="P66" s="16">
        <f>IFERROR(IF($E66="",0,IF(AND($E66="H",$F$8&lt;&gt;"Acrobatic"),VLOOKUP(P65,HybridDDX,2,FALSE),IF($E66="C",SUMPRODUCT(--EXACT(P65,AcroCDD6),AcroCDD6X),0))),0)</f>
        <v>0</v>
      </c>
      <c r="Q66" s="16">
        <f t="shared" ref="Q66:AA66" si="879">IFERROR(IF($E66="",0,IF(AND($E66="H",$F$8&lt;&gt;"Acrobatic"),VLOOKUP(Q65,HybridDDX,2,FALSE),0)),0)</f>
        <v>0</v>
      </c>
      <c r="R66" s="16">
        <f t="shared" si="879"/>
        <v>0</v>
      </c>
      <c r="S66" s="16">
        <f t="shared" si="879"/>
        <v>0</v>
      </c>
      <c r="T66" s="16">
        <f t="shared" si="879"/>
        <v>0</v>
      </c>
      <c r="U66" s="16">
        <f t="shared" si="879"/>
        <v>0</v>
      </c>
      <c r="V66" s="16">
        <f t="shared" si="879"/>
        <v>0</v>
      </c>
      <c r="W66" s="16">
        <f t="shared" si="879"/>
        <v>0</v>
      </c>
      <c r="X66" s="16">
        <f t="shared" si="879"/>
        <v>0</v>
      </c>
      <c r="Y66" s="16">
        <f t="shared" si="879"/>
        <v>0</v>
      </c>
      <c r="Z66" s="16">
        <f t="shared" si="879"/>
        <v>0</v>
      </c>
      <c r="AA66" s="16">
        <f t="shared" si="879"/>
        <v>0</v>
      </c>
      <c r="AB66" s="28">
        <f>IFERROR(IF($E66="",0,IF(AND($E66="H",$F$8&lt;&gt;"Acrobatic"),VLOOKUP(AB65,BonusDDX,2,FALSE),IF($E66="A",VLOOKUP(AB65,AcroABonusX,2,FALSE),IF($E66="B",VLOOKUP(AB65,AcroBBonusX,2,FALSE),IF($E66="C",VLOOKUP(AB65,AcroCBonusX,2,FALSE),IF($E66="P",VLOOKUP(AB65,AcroPBonusX,2,FALSE),0)))))),0)</f>
        <v>0</v>
      </c>
      <c r="AC66" s="16">
        <f>IFERROR(IF($E66="",0,IF(AND($E66="H",$F$8&lt;&gt;"Acrobatic"),VLOOKUP(AC65,BonusDDX,2,FALSE),IF($E66="A",VLOOKUP(AC65,AcroABonusX,2,FALSE),IF($E66="B",VLOOKUP(AC65,AcroBBonusX,2,FALSE),IF($E66="C",VLOOKUP(AC65,AcroCBonusX,2,FALSE),IF($E66="P",VLOOKUP(AC65,AcroPBonusX,2,FALSE),0)))))),0)</f>
        <v>0</v>
      </c>
      <c r="AD66" s="16">
        <f>IFERROR(IF($E66="",0,IF(AND($E66="H",$F$8&lt;&gt;"Acrobatic"),VLOOKUP(AD65,BonusDDX,2,FALSE),0)),0)</f>
        <v>0</v>
      </c>
      <c r="AE66" s="16">
        <f>IFERROR(IF($E66="",0,IF(AND($E66="H",$F$8&lt;&gt;"Acrobatic"),VLOOKUP(AE65,BonusDDX,2,FALSE),0)),0)</f>
        <v>0</v>
      </c>
      <c r="AF66" s="46">
        <f>IFERROR(IF($E66="",0,IF(AND($E66="H",$F$8&lt;&gt;"Acrobatic"),VLOOKUP(AF65,BonusDDX,2,FALSE),0)),0)</f>
        <v>0</v>
      </c>
      <c r="AG66" s="71">
        <f t="shared" ref="AG66" si="880">SUM(H66:AF66)</f>
        <v>0</v>
      </c>
      <c r="AH66" s="98"/>
      <c r="AI66" s="98"/>
      <c r="AJ66" s="145"/>
      <c r="AK66" s="145"/>
      <c r="AL66" s="145"/>
      <c r="AM66" s="145"/>
      <c r="AN66" s="145"/>
      <c r="AO66" s="145"/>
      <c r="AP66" s="145"/>
      <c r="AQ66" s="145"/>
      <c r="AR66" s="146" t="str">
        <f>IFERROR(IF($N$7="X",IF(AND(E66="C",AG66&gt;2.45),"X",IF(AND(E66="A",AG66&gt;2.65),"X",IF(AND(E66="B",AG66&gt;2.6),"X",IF(AND(E66="P",AG66&gt;2.5),"X","")))),""),"")</f>
        <v/>
      </c>
      <c r="AS66" s="137"/>
      <c r="AU66" s="132"/>
    </row>
    <row r="67" spans="1:83" x14ac:dyDescent="0.25">
      <c r="A67" s="42" t="str">
        <f t="shared" ref="A67" si="881">IF(AND(E65="",A65&lt;&gt;""),IF(AS65=$AS$18,"",IF(C65&lt;&gt;"",IF(D65=59,MINUTE(AS65)+1,MINUTE(AS65)),"")),"")</f>
        <v/>
      </c>
      <c r="B67" s="43" t="str">
        <f t="shared" ref="B67" si="882">IF(AND(E65="",B65&lt;&gt;""),IF(AS65=$AS$18,"",IF(C65&lt;&gt;"",IF(D65=59,0,SECOND(AS65)+1),"")),"")</f>
        <v/>
      </c>
      <c r="C67" s="54"/>
      <c r="D67" s="54"/>
      <c r="E67" s="9"/>
      <c r="F67" s="55"/>
      <c r="G67" s="45" t="str">
        <f>IF(F67&lt;&gt;"",IF(OR(F67="Transition",F67="Connected Surface Movment",F67="Cadense"),0,MAX($G$19:G66)+1),"")</f>
        <v/>
      </c>
      <c r="H67" s="68" t="str">
        <f t="shared" ref="H67" si="883">IF(E68=3,"",IF(E68="H","BM",IF(E68="PA",IF(OR(LEFT(J67,1)="L",LEFT(J67,1)="S"),"A-Pair-Lift",IF(OR(LEFT(J67,1)="W",LEFT(J67,1)="T"),"A-Pair-Throw",IF(LEFT(J67,1)="J","A-Pair-Jump","A-Pair"))),IF(OR(E68="A",E68="B",E68="C",E68="P"),CONCATENATE("Acro-",J67),""))))</f>
        <v/>
      </c>
      <c r="I67" s="69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6"/>
      <c r="AC67" s="161"/>
      <c r="AD67" s="161"/>
      <c r="AE67" s="161"/>
      <c r="AF67" s="167"/>
      <c r="AG67" s="47"/>
      <c r="AH67" s="97"/>
      <c r="AI67" s="97"/>
      <c r="AJ67" s="134"/>
      <c r="AK67" s="134"/>
      <c r="AL67" s="134"/>
      <c r="AM67" s="134"/>
      <c r="AN67" s="134"/>
      <c r="AO67" s="134"/>
      <c r="AP67" s="134"/>
      <c r="AQ67" s="134"/>
      <c r="AR67" s="137" t="str">
        <f>IFERROR(TIME(0,A67,B67),"")</f>
        <v/>
      </c>
      <c r="AS67" s="138">
        <f t="shared" ref="AS67" si="884">IFERROR(TIME(0,C67,D67),"")</f>
        <v>0</v>
      </c>
      <c r="AU67" s="132" t="str">
        <f>IF(AND(F67="Hybrid - Thrust",OR(LEFT(J67,1)="T",LEFT(K67,1)="T",LEFT(L67,1)="T",LEFT(JX67,1)="T",LEFT(M67,1)="T",LEFT(N67,1)="T",LEFT(O67,1)="T",LEFT(P67,1)="T",LEFT(Q67,1)="T",LEFT(R67,1)="T",LEFT(S67,1)="T",LEFT(T67,1)="T",LEFT(U67,1)="T",LEFT(V67,1)="T",LEFT(W67,1)="T",LEFT(X67,1)="T",LEFT(Y67,1)="T",LEFT(Z67,1)="T",LEFT(AA67,1)="T")),IF(OR(LEN(J67)=2,LEN(K67)=2,LEN(L67)=2,LEN(M67)=2,LEN(N67)=2,LEN(O67)=2,LEN(P67)=2,LEN(Q67)=2,LEN(R67)=2,LEN(S67)=2,LEN(T67)=2,LEN(U67)=2,LEN(V67)=2,LEN(W67)=2,LEN(X67)=2,LEN(Y67)=2,LEN(Z67)=2,LEN(AA67)=2),"X",""),IF(AND(F67="Hybrid - 720",OR(J67="R3",K67="R3",L67="R3",M67="R3",N67="R3",O67="R3",P67="R3",Q67="R3",R67="R3",S67="R3",T67="R3",U67="R3",V67="R3",W67="R3",X67="R3",Y67="R3",Z67="R3",AA67="R3")),"X",""))</f>
        <v/>
      </c>
      <c r="AW67" s="135">
        <f t="shared" ref="AW67" si="885">COUNTIF(BB67:BS67,"=T1")+COUNTIF(BB67:BS67,"=T2")+COUNTIF(BB67:BS67,"=T3")+COUNTIF(BB67:BS67,"=T4")</f>
        <v>0</v>
      </c>
      <c r="AX67" s="135">
        <f t="shared" ref="AX67" si="886">COUNTIF(BB67:BS67,"=r1")+COUNTIF(BB67:BS67,"=r2")+COUNTIF(BB67:BS67,"=r3")+COUNTIF(BB67:BS67,"=r4")</f>
        <v>0</v>
      </c>
      <c r="AY67" s="135">
        <f t="shared" ref="AY67" si="887">COUNTIF(BB67:BS67,"=A")</f>
        <v>0</v>
      </c>
      <c r="AZ67" s="135">
        <f t="shared" ref="AZ67" si="888">COUNTIF(BB67:BS67,"=F")</f>
        <v>0</v>
      </c>
      <c r="BA67" s="135">
        <f t="shared" ref="BA67" si="889">COUNTIF(BB67:BS67,"=C")</f>
        <v>0</v>
      </c>
      <c r="BB67" s="132" t="str">
        <f t="shared" ref="BB67" si="890">IF($E68="H",IF(OR(LEFT(J67,1)="T",LEFT(J67,1)="R"),LEFT(J67,2),LEFT(J67,1)),"")</f>
        <v/>
      </c>
      <c r="BC67" s="132" t="str">
        <f t="shared" ref="BC67" si="891">IF($E68="H",IF(OR(LEFT(K67,1)="T",LEFT(K67,1)="R"),LEFT(K67,2),LEFT(K67,1)),"")</f>
        <v/>
      </c>
      <c r="BD67" s="132" t="str">
        <f t="shared" ref="BD67" si="892">IF($E68="H",IF(OR(LEFT(L67,1)="T",LEFT(L67,1)="R"),LEFT(L67,2),LEFT(L67,1)),"")</f>
        <v/>
      </c>
      <c r="BE67" s="132" t="str">
        <f t="shared" ref="BE67" si="893">IF($E68="H",IF(OR(LEFT(M67,1)="T",LEFT(M67,1)="R"),LEFT(M67,2),LEFT(M67,1)),"")</f>
        <v/>
      </c>
      <c r="BF67" s="132" t="str">
        <f t="shared" ref="BF67" si="894">IF($E68="H",IF(OR(LEFT(N67,1)="T",LEFT(N67,1)="R"),LEFT(N67,2),LEFT(N67,1)),"")</f>
        <v/>
      </c>
      <c r="BG67" s="132" t="str">
        <f t="shared" ref="BG67" si="895">IF($E68="H",IF(OR(LEFT(O67,1)="T",LEFT(O67,1)="R"),LEFT(O67,2),LEFT(O67,1)),"")</f>
        <v/>
      </c>
      <c r="BH67" s="132" t="str">
        <f t="shared" ref="BH67" si="896">IF($E68="H",IF(OR(LEFT(P67,1)="T",LEFT(P67,1)="R"),LEFT(P67,2),LEFT(P67,1)),"")</f>
        <v/>
      </c>
      <c r="BI67" s="132" t="str">
        <f t="shared" ref="BI67" si="897">IF($E68="H",IF(OR(LEFT(Q67,1)="T",LEFT(Q67,1)="R"),LEFT(Q67,2),LEFT(Q67,1)),"")</f>
        <v/>
      </c>
      <c r="BJ67" s="132" t="str">
        <f t="shared" ref="BJ67" si="898">IF($E68="H",IF(OR(LEFT(R67,1)="T",LEFT(R67,1)="R"),LEFT(R67,2),LEFT(R67,1)),"")</f>
        <v/>
      </c>
      <c r="BK67" s="132" t="str">
        <f t="shared" ref="BK67" si="899">IF($E68="H",IF(OR(LEFT(S67,1)="T",LEFT(S67,1)="R"),LEFT(S67,2),LEFT(S67,1)),"")</f>
        <v/>
      </c>
      <c r="BL67" s="132" t="str">
        <f t="shared" ref="BL67" si="900">IF($E68="H",IF(OR(LEFT(T67,1)="T",LEFT(T67,1)="R"),LEFT(T67,2),LEFT(T67,1)),"")</f>
        <v/>
      </c>
      <c r="BM67" s="132" t="str">
        <f t="shared" ref="BM67" si="901">IF($E68="H",IF(OR(LEFT(U67,1)="T",LEFT(U67,1)="R"),LEFT(U67,2),LEFT(U67,1)),"")</f>
        <v/>
      </c>
      <c r="BN67" s="132" t="str">
        <f t="shared" ref="BN67" si="902">IF($E68="H",IF(OR(LEFT(V67,1)="T",LEFT(V67,1)="R"),LEFT(V67,2),LEFT(V67,1)),"")</f>
        <v/>
      </c>
      <c r="BO67" s="132" t="str">
        <f t="shared" ref="BO67" si="903">IF($E68="H",IF(OR(LEFT(W67,1)="T",LEFT(W67,1)="R"),LEFT(W67,2),LEFT(W67,1)),"")</f>
        <v/>
      </c>
      <c r="BP67" s="132" t="str">
        <f t="shared" ref="BP67" si="904">IF($E68="H",IF(OR(LEFT(X67,1)="T",LEFT(X67,1)="R"),LEFT(X67,2),LEFT(X67,1)),"")</f>
        <v/>
      </c>
      <c r="BQ67" s="132" t="str">
        <f t="shared" ref="BQ67" si="905">IF($E68="H",IF(OR(LEFT(Y67,1)="T",LEFT(Y67,1)="R"),LEFT(Y67,2),LEFT(Y67,1)),"")</f>
        <v/>
      </c>
      <c r="BR67" s="132" t="str">
        <f t="shared" ref="BR67" si="906">IF($E68="H",IF(OR(LEFT(Z67,1)="T",LEFT(Z67,1)="R"),LEFT(Z67,2),LEFT(Z67,1)),"")</f>
        <v/>
      </c>
      <c r="BS67" s="132" t="str">
        <f t="shared" ref="BS67" si="907">IF($E68="H",IF(OR(LEFT(AA67,1)="T",LEFT(AA67,1)="R"),LEFT(AA67,2),LEFT(AA67,1)),"")</f>
        <v/>
      </c>
      <c r="BU67" s="144" t="str">
        <f t="shared" ref="BU67" si="908">IF(OR(LEFT(AB67,2)="PL",LEFT(AC67,2)="PL",LEFT(AD67,2)="PL",LEFT(AE67,2)="PL",LEFT(AF67,2)="PL"),IF($AS$17-AR67&gt;$BU$17,"X",""),"")</f>
        <v/>
      </c>
      <c r="BV67" s="144"/>
      <c r="BW67" s="135">
        <f t="shared" ref="BW67" si="909">IF(COUNTIF(BY67:CC67,BY67)&gt;1,1,IF(COUNTIF(BY67:CC67,BZ67)&gt;1,2,IF(COUNTIF(BY67:CC67,CA67)&gt;1,3,IF(COUNTIF(BY67:CC67,CB67)&gt;1,4,IF(COUNTIF(BY67:CC67,CC67)&gt;1,5,"")))))</f>
        <v>1</v>
      </c>
      <c r="BX67" s="135">
        <f t="shared" ref="BX67" si="910">IF(COUNTIF(BY67:CC67,CC67)&gt;1,5,IF(COUNTIF(BY67:CC67,CB67)&gt;1,4,IF(COUNTIF(BY67:CC67,CA67)&gt;1,3,IF(COUNTIF(BY67:CC67,BZ67)&gt;1,2,IF(COUNTIF(BY67:CC67,BY67)&gt;1,1,"")))))</f>
        <v>5</v>
      </c>
      <c r="BY67" s="132" t="str">
        <f t="shared" ref="BY67" si="911">IFERROR(IF($E68="H",IF(AB67="",BY$18,IF(ISNUMBER(_xlfn.NUMBERVALUE(LEFT(AB67,1))),MID(AB67,2,2),LEFT(AB67,2))),""),"")</f>
        <v/>
      </c>
      <c r="BZ67" s="132" t="str">
        <f t="shared" ref="BZ67" si="912">IFERROR(IF($E68="H",IF(AC67="",BZ$18,IF(ISNUMBER(_xlfn.NUMBERVALUE(LEFT(AC67,1))),MID(AC67,2,2),LEFT(AC67,2))),""),"")</f>
        <v/>
      </c>
      <c r="CA67" s="132" t="str">
        <f t="shared" ref="CA67" si="913">IFERROR(IF($E68="H",IF(AD67="",CA$18,IF(ISNUMBER(_xlfn.NUMBERVALUE(LEFT(AD67,1))),MID(AD67,2,2),LEFT(AD67,2))),""),"")</f>
        <v/>
      </c>
      <c r="CB67" s="132" t="str">
        <f t="shared" ref="CB67" si="914">IFERROR(IF($E68="H",IF(AE67="",CB$18,IF(ISNUMBER(_xlfn.NUMBERVALUE(LEFT(AE67,1))),MID(AE67,2,2),LEFT(AE67,2))),""),"")</f>
        <v/>
      </c>
      <c r="CC67" s="132" t="str">
        <f t="shared" ref="CC67" si="915">IFERROR(IF($E68="H",IF(AF67="",CC$18,IF(ISNUMBER(_xlfn.NUMBERVALUE(LEFT(AF67,1))),MID(AF67,2,2),LEFT(AF67,2))),""),"")</f>
        <v/>
      </c>
      <c r="CE67" s="135" t="str">
        <f t="shared" ref="CE67" si="916">IF(E68=3,_xlfn.NUMBERVALUE(LEFT(J67,1)),"")</f>
        <v/>
      </c>
    </row>
    <row r="68" spans="1:83" ht="13.5" thickBot="1" x14ac:dyDescent="0.3">
      <c r="A68" s="48"/>
      <c r="B68" s="49"/>
      <c r="C68" s="49"/>
      <c r="D68" s="49"/>
      <c r="E68" s="66" t="str">
        <f t="shared" ref="E68" si="917">IF(F67="Acrobatic","PA",IF(F67="Acrobatic Airborn","A",IF(F67="Acrobatic Balance","B",IF(F67="Acrobatic Combined","C",IF(F67="Acrobatic Platform","P",IF(F67="Technical Required Element",3,IF(LEFT(F67,4)="Hybr","H","")))))))</f>
        <v/>
      </c>
      <c r="F68" s="66" t="str">
        <f>IF(OR(F67="Acrobatic Airborn",F67="Acrobatic Balance",F67="Acrobatic Combined",F67="Acrobatic Platform"),"Acrobatic",IF(AND(F67="Hybrid - Thrust",AU67="X"),"Hybrid - Thrust - X",IF(AND(F67="Hybrid - 720",AU67="X"),"Hybrid - 720 - X","")))</f>
        <v/>
      </c>
      <c r="G68" s="84"/>
      <c r="H68" s="150" t="str">
        <f t="shared" si="2"/>
        <v/>
      </c>
      <c r="I68" s="85"/>
      <c r="J68" s="82">
        <f>IFERROR(IF($E68="",0,IF(AND($E68="H",$F$8&lt;&gt;"Acrobatic"),VLOOKUP(J67,HybridDDX,2,FALSE),IF($E68="PA",VLOOKUP(J67,AcroPairDDX,2,FALSE),IF(OR($E68="A",$E68="B",$E68="C",$E68="P"),0,IF($E68=3,VLOOKUP(J67,TreDDX,2,FALSE),0))))),0)</f>
        <v>0</v>
      </c>
      <c r="K68" s="83">
        <f>IFERROR(IF($E68="",0,IF(AND($E68="H",$F$8&lt;&gt;"Acrobatic"),VLOOKUP(K67,HybridDDX,2,FALSE),IF($E68="PA",0,IF($E68="A",SUMPRODUCT(--EXACT(K67,AcroADD2),AcroADD2X),IF($E68="B",SUMPRODUCT(--EXACT(K67,AcroBDD2),AcroBDD2X),IF($E68="C",SUMPRODUCT(--EXACT(K67,AcroCDD2),AcroCDD2X),IF($E68="P",SUMPRODUCT(--EXACT(K67,AcroPDD2),AcroPDD2X),IF($E68=3,0,0)))))))),0)</f>
        <v>0</v>
      </c>
      <c r="L68" s="83">
        <f t="array" ref="L68">IFERROR(IF($E68="",0,IF(AND($E68="H",$F$8&lt;&gt;"Acrobatic"),VLOOKUP(L67,HybridDDX,2,FALSE),IF($E68="PA",0,IF($E68="A",SUMPRODUCT(--EXACT(L67,AcroADD3),AcroADD3X),IF($E68="B",SUMPRODUCT(--EXACT(CONCATENATE(LEN(L67),L67),AcroBDD3W),AcroBDD3X),IF($E68="C",SUMPRODUCT(--EXACT(L67,AcroCDD3),AcroCDD3X),IF($E68="P",SUMPRODUCT(--EXACT(L67,AcroPDD3),AcroPDD3X),IF($E68=3,0,0)))))))),0)</f>
        <v>0</v>
      </c>
      <c r="M68" s="83">
        <f>IFERROR(IF($E68="",0,IF(AND($E68="H",$F$8&lt;&gt;"Acrobatic"),VLOOKUP(M67,HybridDDX,2,FALSE),IF($E68="PA",0,IF($E68="A",SUMPRODUCT(--EXACT(M67,AcroADD4p1),AcroADD4p1X),IF($E68="B",SUMPRODUCT(--EXACT(M67,AcroBDD4p1),AcroBDD4p1X),IF($E68="C",SUMPRODUCT(--EXACT(M67,AcroCDD4p1),AcroCDD4p1X),IF($E68="P",SUMPRODUCT(--EXACT(M67,AcroPDD4p1),AcroPDD4p1X),IF($E68=3,0,0)))))))),0)</f>
        <v>0</v>
      </c>
      <c r="N68" s="83">
        <f>IFERROR(IF($E68="",0,IF(AND($E68="H",$F$8&lt;&gt;"Acrobatic"),VLOOKUP(N67,HybridDDX,2,FALSE),IF($E68="PA",0,IF($E68="A",SUMPRODUCT(--EXACT(N67,AcroADD4p2),AcroADD4p2X),IF($E68="B",SUMPRODUCT(--EXACT(N67,AcroBDD4p2),AcroBDD4p2X),IF($E68="C",SUMPRODUCT(--EXACT(N67,AcroCDD4p2),AcroCDD4p2X),IF($E68="P",SUMPRODUCT(--EXACT(N67,AcroPDD4p2),AcroPDD4p2X),IF($E68=3,0,0)))))))),0)</f>
        <v>0</v>
      </c>
      <c r="O68" s="83">
        <f>IFERROR(IF($E68="",0,IF(AND($E68="H",$F$8&lt;&gt;"Acrobatic"),VLOOKUP(O67,HybridDDX,2,FALSE),IF($E68="PA",0,IF($E68="A",SUMPRODUCT(--EXACT(O67,AcroADD5),AcroADD5X),IF($E68="B",SUMPRODUCT(--EXACT(O67,AcroBDD5),AcroBDD5X),IF($E68="C",SUMPRODUCT(--EXACT(O67,AcroCDD5),AcroCDD5X),IF($E68="P",SUMPRODUCT(--EXACT(O67,AcroPDD5),AcroPDD5X),IF($E68=3,0,0)))))))),0)</f>
        <v>0</v>
      </c>
      <c r="P68" s="83">
        <f>IFERROR(IF($E68="",0,IF(AND($E68="H",$F$8&lt;&gt;"Acrobatic"),VLOOKUP(P67,HybridDDX,2,FALSE),IF($E68="C",SUMPRODUCT(--EXACT(P67,AcroCDD6),AcroCDD6X),0))),0)</f>
        <v>0</v>
      </c>
      <c r="Q68" s="83">
        <f t="shared" ref="Q68:AA68" si="918">IFERROR(IF($E68="",0,IF(AND($E68="H",$F$8&lt;&gt;"Acrobatic"),VLOOKUP(Q67,HybridDDX,2,FALSE),0)),0)</f>
        <v>0</v>
      </c>
      <c r="R68" s="83">
        <f t="shared" si="918"/>
        <v>0</v>
      </c>
      <c r="S68" s="83">
        <f t="shared" si="918"/>
        <v>0</v>
      </c>
      <c r="T68" s="83">
        <f t="shared" si="918"/>
        <v>0</v>
      </c>
      <c r="U68" s="83">
        <f t="shared" si="918"/>
        <v>0</v>
      </c>
      <c r="V68" s="83">
        <f t="shared" si="918"/>
        <v>0</v>
      </c>
      <c r="W68" s="83">
        <f t="shared" si="918"/>
        <v>0</v>
      </c>
      <c r="X68" s="83">
        <f t="shared" si="918"/>
        <v>0</v>
      </c>
      <c r="Y68" s="83">
        <f t="shared" si="918"/>
        <v>0</v>
      </c>
      <c r="Z68" s="83">
        <f t="shared" si="918"/>
        <v>0</v>
      </c>
      <c r="AA68" s="83">
        <f t="shared" si="918"/>
        <v>0</v>
      </c>
      <c r="AB68" s="82">
        <f>IFERROR(IF($E68="",0,IF(AND($E68="H",$F$8&lt;&gt;"Acrobatic"),VLOOKUP(AB67,BonusDDX,2,FALSE),IF($E68="A",VLOOKUP(AB67,AcroABonusX,2,FALSE),IF($E68="B",VLOOKUP(AB67,AcroBBonusX,2,FALSE),IF($E68="C",VLOOKUP(AB67,AcroCBonusX,2,FALSE),IF($E68="P",VLOOKUP(AB67,AcroPBonusX,2,FALSE),0)))))),0)</f>
        <v>0</v>
      </c>
      <c r="AC68" s="83">
        <f>IFERROR(IF($E68="",0,IF(AND($E68="H",$F$8&lt;&gt;"Acrobatic"),VLOOKUP(AC67,BonusDDX,2,FALSE),IF($E68="A",VLOOKUP(AC67,AcroABonusX,2,FALSE),IF($E68="B",VLOOKUP(AC67,AcroBBonusX,2,FALSE),IF($E68="C",VLOOKUP(AC67,AcroCBonusX,2,FALSE),IF($E68="P",VLOOKUP(AC67,AcroPBonusX,2,FALSE),0)))))),0)</f>
        <v>0</v>
      </c>
      <c r="AD68" s="83">
        <f>IFERROR(IF($E68="",0,IF(AND($E68="H",$F$8&lt;&gt;"Acrobatic"),VLOOKUP(AD67,BonusDDX,2,FALSE),0)),0)</f>
        <v>0</v>
      </c>
      <c r="AE68" s="83">
        <f>IFERROR(IF($E68="",0,IF(AND($E68="H",$F$8&lt;&gt;"Acrobatic"),VLOOKUP(AE67,BonusDDX,2,FALSE),0)),0)</f>
        <v>0</v>
      </c>
      <c r="AF68" s="86">
        <f>IFERROR(IF($E68="",0,IF(AND($E68="H",$F$8&lt;&gt;"Acrobatic"),VLOOKUP(AF67,BonusDDX,2,FALSE),0)),0)</f>
        <v>0</v>
      </c>
      <c r="AG68" s="87">
        <f t="shared" ref="AG68" si="919">SUM(H68:AF68)</f>
        <v>0</v>
      </c>
      <c r="AH68" s="98"/>
      <c r="AI68" s="98"/>
      <c r="AJ68" s="145"/>
      <c r="AK68" s="145"/>
      <c r="AL68" s="145"/>
      <c r="AM68" s="145"/>
      <c r="AN68" s="145"/>
      <c r="AO68" s="145"/>
      <c r="AP68" s="145"/>
      <c r="AQ68" s="145"/>
      <c r="AR68" s="146" t="str">
        <f>IFERROR(IF($N$7="X",IF(AND(E68="C",AG68&gt;2.45),"X",IF(AND(E68="A",AG68&gt;2.65),"X",IF(AND(E68="B",AG68&gt;2.6),"X",IF(AND(E68="P",AG68&gt;2.5),"X","")))),""),"")</f>
        <v/>
      </c>
      <c r="AS68" s="137"/>
      <c r="AU68" s="132"/>
    </row>
    <row r="69" spans="1:83" s="52" customFormat="1" ht="12.95" hidden="1" x14ac:dyDescent="0.2">
      <c r="A69" s="50" t="str">
        <f>IF(AND(E67="",A67&lt;&gt;""),IF(AS67=$AS$18,"",IF(C67&lt;&gt;"",MINUTE(AS67),"")),"")</f>
        <v/>
      </c>
      <c r="B69" s="50" t="str">
        <f>IF(AND(E67="",B67&lt;&gt;""),IF(AS67=$AS$18,"",IF(C67&lt;&gt;"",SECOND(AS67)+1,"")),"")</f>
        <v/>
      </c>
      <c r="C69" s="54"/>
      <c r="D69" s="54"/>
      <c r="E69" s="9"/>
      <c r="F69" s="51"/>
      <c r="G69" s="45" t="str">
        <f>IF(F69&lt;&gt;"",IF(OR(F69="Transition",F69="Connected Surface Movment",F69="Cadense"),0,MAX($G$19:G68)+1),"")</f>
        <v/>
      </c>
      <c r="H69" s="51"/>
      <c r="I69" s="52" t="str">
        <f t="shared" ref="I69" si="920">IF(F69="Hybrid",IF(H69&lt;=0,"NM ?",IF(H69&lt;=6,"NM1",IF(H69&lt;=19,"NM2",IF(H69&lt;=29,"NM3","NM4")))),"")</f>
        <v/>
      </c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2"/>
      <c r="AC69" s="70"/>
      <c r="AD69" s="70"/>
      <c r="AE69" s="70"/>
      <c r="AF69" s="73"/>
      <c r="AH69" s="12"/>
      <c r="AJ69" s="135"/>
      <c r="AK69" s="135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35">
        <f t="shared" ref="AW69" si="921">COUNTIF(BB69:BS69,"=T1")+COUNTIF(BB69:BS69,"=T2")+COUNTIF(BB69:BS69,"=T3")+COUNTIF(BB69:BS69,"=T4")</f>
        <v>0</v>
      </c>
      <c r="AX69" s="135">
        <f t="shared" ref="AX69" si="922">COUNTIF(BB69:BS69,"=r1")+COUNTIF(BB69:BS69,"=r2")+COUNTIF(BB69:BS69,"=r3")+COUNTIF(BB69:BS69,"=r4")</f>
        <v>0</v>
      </c>
      <c r="AY69" s="135">
        <f t="shared" ref="AY69" si="923">COUNTIF(BB69:BS69,"=A")</f>
        <v>0</v>
      </c>
      <c r="AZ69" s="135">
        <f t="shared" ref="AZ69" si="924">COUNTIF(BB69:BS69,"=F")</f>
        <v>0</v>
      </c>
      <c r="BA69" s="135">
        <f t="shared" ref="BA69" si="925">COUNTIF(BB69:BS69,"=C")</f>
        <v>0</v>
      </c>
      <c r="BB69" s="132" t="str">
        <f t="shared" ref="BB69" si="926">IF($E70="H",IF(OR(LEFT(J69,1)="T",LEFT(J69,1)="R"),LEFT(J69,2),LEFT(J69,1)),"")</f>
        <v/>
      </c>
      <c r="BC69" s="132" t="str">
        <f t="shared" ref="BC69" si="927">IF($E70="H",IF(OR(LEFT(K69,1)="T",LEFT(K69,1)="R"),LEFT(K69,2),LEFT(K69,1)),"")</f>
        <v/>
      </c>
      <c r="BD69" s="132" t="str">
        <f t="shared" ref="BD69" si="928">IF($E70="H",IF(OR(LEFT(L69,1)="T",LEFT(L69,1)="R"),LEFT(L69,2),LEFT(L69,1)),"")</f>
        <v/>
      </c>
      <c r="BE69" s="132" t="str">
        <f t="shared" ref="BE69" si="929">IF($E70="H",IF(OR(LEFT(M69,1)="T",LEFT(M69,1)="R"),LEFT(M69,2),LEFT(M69,1)),"")</f>
        <v/>
      </c>
      <c r="BF69" s="132" t="str">
        <f t="shared" ref="BF69" si="930">IF($E70="H",IF(OR(LEFT(N69,1)="T",LEFT(N69,1)="R"),LEFT(N69,2),LEFT(N69,1)),"")</f>
        <v/>
      </c>
      <c r="BG69" s="132" t="str">
        <f t="shared" ref="BG69" si="931">IF($E70="H",IF(OR(LEFT(O69,1)="T",LEFT(O69,1)="R"),LEFT(O69,2),LEFT(O69,1)),"")</f>
        <v/>
      </c>
      <c r="BH69" s="132" t="str">
        <f t="shared" ref="BH69" si="932">IF($E70="H",IF(OR(LEFT(P69,1)="T",LEFT(P69,1)="R"),LEFT(P69,2),LEFT(P69,1)),"")</f>
        <v/>
      </c>
      <c r="BI69" s="132" t="str">
        <f t="shared" ref="BI69" si="933">IF($E70="H",IF(OR(LEFT(Q69,1)="T",LEFT(Q69,1)="R"),LEFT(Q69,2),LEFT(Q69,1)),"")</f>
        <v/>
      </c>
      <c r="BJ69" s="132" t="str">
        <f t="shared" ref="BJ69" si="934">IF($E70="H",IF(OR(LEFT(R69,1)="T",LEFT(R69,1)="R"),LEFT(R69,2),LEFT(R69,1)),"")</f>
        <v/>
      </c>
      <c r="BK69" s="132" t="str">
        <f t="shared" ref="BK69" si="935">IF($E70="H",IF(OR(LEFT(S69,1)="T",LEFT(S69,1)="R"),LEFT(S69,2),LEFT(S69,1)),"")</f>
        <v/>
      </c>
      <c r="BL69" s="132" t="str">
        <f t="shared" ref="BL69" si="936">IF($E70="H",IF(OR(LEFT(T69,1)="T",LEFT(T69,1)="R"),LEFT(T69,2),LEFT(T69,1)),"")</f>
        <v/>
      </c>
      <c r="BM69" s="132" t="str">
        <f t="shared" ref="BM69" si="937">IF($E70="H",IF(OR(LEFT(U69,1)="T",LEFT(U69,1)="R"),LEFT(U69,2),LEFT(U69,1)),"")</f>
        <v/>
      </c>
      <c r="BN69" s="132" t="str">
        <f t="shared" ref="BN69" si="938">IF($E70="H",IF(OR(LEFT(V69,1)="T",LEFT(V69,1)="R"),LEFT(V69,2),LEFT(V69,1)),"")</f>
        <v/>
      </c>
      <c r="BO69" s="132" t="str">
        <f t="shared" ref="BO69" si="939">IF($E70="H",IF(OR(LEFT(W69,1)="T",LEFT(W69,1)="R"),LEFT(W69,2),LEFT(W69,1)),"")</f>
        <v/>
      </c>
      <c r="BP69" s="132" t="str">
        <f t="shared" ref="BP69" si="940">IF($E70="H",IF(OR(LEFT(X69,1)="T",LEFT(X69,1)="R"),LEFT(X69,2),LEFT(X69,1)),"")</f>
        <v/>
      </c>
      <c r="BQ69" s="132" t="str">
        <f t="shared" ref="BQ69" si="941">IF($E70="H",IF(OR(LEFT(Y69,1)="T",LEFT(Y69,1)="R"),LEFT(Y69,2),LEFT(Y69,1)),"")</f>
        <v/>
      </c>
      <c r="BR69" s="132" t="str">
        <f t="shared" ref="BR69" si="942">IF($E70="H",IF(OR(LEFT(Z69,1)="T",LEFT(Z69,1)="R"),LEFT(Z69,2),LEFT(Z69,1)),"")</f>
        <v/>
      </c>
      <c r="BS69" s="132" t="str">
        <f t="shared" ref="BS69" si="943">IF($E70="H",IF(OR(LEFT(AA69,1)="T",LEFT(AA69,1)="R"),LEFT(AA69,2),LEFT(AA69,1)),"")</f>
        <v/>
      </c>
      <c r="BT69" s="147"/>
      <c r="BU69" s="147"/>
      <c r="BV69" s="147"/>
      <c r="BW69" s="147"/>
      <c r="BX69" s="147"/>
      <c r="BY69" s="147"/>
      <c r="BZ69" s="147"/>
      <c r="CA69" s="147"/>
      <c r="CB69" s="147"/>
      <c r="CC69" s="147"/>
      <c r="CD69" s="147"/>
      <c r="CE69" s="135" t="str">
        <f t="shared" ref="CE69" si="944">IF(E70=3,_xlfn.NUMBERVALUE(LEFT(J69,1)),"")</f>
        <v/>
      </c>
    </row>
    <row r="70" spans="1:83" x14ac:dyDescent="0.25">
      <c r="A70" s="43"/>
      <c r="B70" s="43"/>
      <c r="C70" s="43"/>
      <c r="D70" s="43"/>
      <c r="E70" s="44"/>
      <c r="F70" s="16"/>
    </row>
    <row r="71" spans="1:83" x14ac:dyDescent="0.25">
      <c r="A71" s="43"/>
      <c r="B71" s="43"/>
      <c r="C71" s="43"/>
      <c r="D71" s="43"/>
      <c r="E71" s="43"/>
      <c r="F71" s="16"/>
    </row>
    <row r="72" spans="1:83" x14ac:dyDescent="0.25">
      <c r="A72" s="43"/>
      <c r="B72" s="43"/>
      <c r="C72" s="43"/>
      <c r="D72" s="43"/>
      <c r="E72" s="44"/>
      <c r="F72" s="16"/>
    </row>
    <row r="73" spans="1:83" x14ac:dyDescent="0.25">
      <c r="A73" s="43"/>
      <c r="B73" s="43"/>
      <c r="C73" s="43"/>
      <c r="D73" s="43"/>
      <c r="E73" s="43"/>
      <c r="G73" s="12" t="s">
        <v>782</v>
      </c>
      <c r="H73" s="16">
        <v>1</v>
      </c>
      <c r="K73" s="12" t="s">
        <v>786</v>
      </c>
      <c r="L73" s="16">
        <v>2</v>
      </c>
      <c r="O73" s="12" t="s">
        <v>787</v>
      </c>
      <c r="P73" s="16">
        <v>3</v>
      </c>
      <c r="S73" s="12" t="s">
        <v>788</v>
      </c>
      <c r="T73" s="16">
        <v>4</v>
      </c>
      <c r="W73" s="12" t="s">
        <v>789</v>
      </c>
      <c r="X73" s="16">
        <v>5</v>
      </c>
      <c r="AA73" s="12" t="s">
        <v>790</v>
      </c>
      <c r="AB73" s="16">
        <v>6</v>
      </c>
      <c r="AE73" s="12" t="s">
        <v>791</v>
      </c>
      <c r="AF73" s="16">
        <v>7</v>
      </c>
      <c r="AI73" s="12" t="s">
        <v>792</v>
      </c>
      <c r="AJ73" s="151">
        <v>8</v>
      </c>
      <c r="AK73" s="152"/>
      <c r="AL73" s="152"/>
      <c r="AM73" s="152" t="s">
        <v>793</v>
      </c>
      <c r="AN73" s="151">
        <v>9</v>
      </c>
      <c r="AO73" s="152"/>
      <c r="AP73" s="152"/>
      <c r="AR73" s="132"/>
      <c r="AU73" s="132"/>
    </row>
    <row r="74" spans="1:83" x14ac:dyDescent="0.25">
      <c r="A74" s="43"/>
      <c r="B74" s="43"/>
      <c r="C74" s="43"/>
      <c r="D74" s="43"/>
      <c r="E74" s="44"/>
      <c r="G74" s="12" t="s">
        <v>783</v>
      </c>
      <c r="H74" s="16" t="s">
        <v>30</v>
      </c>
      <c r="I74" s="12" t="s">
        <v>784</v>
      </c>
      <c r="J74" s="12" t="s">
        <v>785</v>
      </c>
      <c r="K74" s="12" t="s">
        <v>783</v>
      </c>
      <c r="L74" s="16" t="s">
        <v>30</v>
      </c>
      <c r="M74" s="12" t="s">
        <v>784</v>
      </c>
      <c r="N74" s="12" t="s">
        <v>785</v>
      </c>
      <c r="O74" s="12" t="s">
        <v>783</v>
      </c>
      <c r="P74" s="16" t="s">
        <v>30</v>
      </c>
      <c r="Q74" s="12" t="s">
        <v>784</v>
      </c>
      <c r="R74" s="12" t="s">
        <v>785</v>
      </c>
      <c r="S74" s="12" t="s">
        <v>783</v>
      </c>
      <c r="T74" s="16" t="s">
        <v>30</v>
      </c>
      <c r="U74" s="12" t="s">
        <v>784</v>
      </c>
      <c r="V74" s="12" t="s">
        <v>785</v>
      </c>
      <c r="W74" s="12" t="s">
        <v>783</v>
      </c>
      <c r="X74" s="16" t="s">
        <v>30</v>
      </c>
      <c r="Y74" s="12" t="s">
        <v>784</v>
      </c>
      <c r="Z74" s="12" t="s">
        <v>785</v>
      </c>
      <c r="AA74" s="12" t="s">
        <v>783</v>
      </c>
      <c r="AB74" s="16" t="s">
        <v>30</v>
      </c>
      <c r="AC74" s="12" t="s">
        <v>784</v>
      </c>
      <c r="AD74" s="12" t="s">
        <v>785</v>
      </c>
      <c r="AE74" s="12" t="s">
        <v>783</v>
      </c>
      <c r="AF74" s="16" t="s">
        <v>30</v>
      </c>
      <c r="AG74" s="12" t="s">
        <v>784</v>
      </c>
      <c r="AH74" s="12" t="s">
        <v>785</v>
      </c>
      <c r="AI74" s="12" t="s">
        <v>783</v>
      </c>
      <c r="AJ74" s="151" t="s">
        <v>30</v>
      </c>
      <c r="AK74" s="152" t="s">
        <v>784</v>
      </c>
      <c r="AL74" s="152" t="s">
        <v>785</v>
      </c>
      <c r="AM74" s="152" t="s">
        <v>783</v>
      </c>
      <c r="AN74" s="151" t="s">
        <v>30</v>
      </c>
      <c r="AO74" s="152" t="s">
        <v>784</v>
      </c>
      <c r="AP74" s="152" t="s">
        <v>785</v>
      </c>
      <c r="AR74" s="132"/>
      <c r="AU74" s="132"/>
    </row>
    <row r="75" spans="1:83" x14ac:dyDescent="0.25">
      <c r="A75" s="43"/>
      <c r="B75" s="43"/>
      <c r="C75" s="43"/>
      <c r="D75" s="43"/>
      <c r="E75" s="43"/>
      <c r="G75" s="12"/>
    </row>
    <row r="76" spans="1:83" x14ac:dyDescent="0.25">
      <c r="A76" s="43"/>
      <c r="B76" s="43"/>
      <c r="C76" s="43"/>
      <c r="D76" s="43"/>
      <c r="E76" s="26" t="str">
        <f>IF(G76&lt;&gt;"","Copy green area &gt;&gt;&gt;","")</f>
        <v/>
      </c>
      <c r="F76" s="96" t="s">
        <v>780</v>
      </c>
      <c r="G76" s="100" t="str">
        <f>IFERROR(IF($AS$8="T",IF(OR(INDEX($E$20:$E$68,MATCH(H73,$G$19:$G$67,0))="H",INDEX($E$20:$E$68,MATCH(H73,$G$19:$G$67,0))="T"),INDEX($E$20:$E$68,MATCH(H73,$G$19:$G$67,0)),IF(INDEX($E$20:$E$68,MATCH(H73,$G$19:$G$67,0))=3,"T",IF(OR(INDEX($E$20:$E$68,MATCH(H73,$G$19:$G$67,0))="A",INDEX($E$20:$E$68,MATCH(H73,$G$19:$G$67,0))="B",INDEX($E$20:$E$68,MATCH(H73,$G$19:$G$67,0))="C",INDEX($E$20:$E$68,MATCH(H73,$G$19:$G$67,0))="P"),CONCATENATE("A",RIGHT(INDEX($H$19:$H$67,MATCH(H73,$G$19:$G$67,0)),2)),IF(INDEX($E$20:$E$68,MATCH(H73,$G$19:$G$67,0))="PA",IF(MID(INDEX($H$19:$H$67,MATCH(H73,$G$19:$G$67,0)),8,1)="W","AT",CONCATENATE("A",MID(INDEX($H$19:$H$67,MATCH(H73,$G$19:$G$67,0)),8,1))),"")))),""),"")</f>
        <v/>
      </c>
      <c r="H76" s="100" t="str">
        <f>IFERROR(IF($AS$8="T",IF(G76="T",INDEX($J$19:$J$67,MATCH(H73,$G$19:$G$67,0)),""),""),"")</f>
        <v/>
      </c>
      <c r="I76" s="101" t="str">
        <f>IFERROR(IF($AS$8="T",IF(OR(G76="H",LEFT(G76,1)="A"),IF($AS$6="D",0.1,0.5),""),""),"")</f>
        <v/>
      </c>
      <c r="J76" s="101" t="str">
        <f>IFERROR(IF($AS$8="T",INDEX($AG$20:$AG$68,MATCH(H73,$G$19:$G$67,0)),""),"")</f>
        <v/>
      </c>
      <c r="K76" s="100" t="str">
        <f>IFERROR(IF($AS$8="T",IF(OR(INDEX($E$20:$E$68,MATCH(L73,$G$19:$G$67,0))="H",INDEX($E$20:$E$68,MATCH(L73,$G$19:$G$67,0))="T"),INDEX($E$20:$E$68,MATCH(L73,$G$19:$G$67,0)),IF(INDEX($E$20:$E$68,MATCH(L73,$G$19:$G$67,0))=3,"T",IF(OR(INDEX($E$20:$E$68,MATCH(L73,$G$19:$G$67,0))="A",INDEX($E$20:$E$68,MATCH(L73,$G$19:$G$67,0))="B",INDEX($E$20:$E$68,MATCH(L73,$G$19:$G$67,0))="C",INDEX($E$20:$E$68,MATCH(L73,$G$19:$G$67,0))="P"),CONCATENATE("A",RIGHT(INDEX($H$19:$H$67,MATCH(L73,$G$19:$G$67,0)),2)),IF(INDEX($E$20:$E$68,MATCH(L73,$G$19:$G$67,0))="PA",IF(MID(INDEX($H$19:$H$67,MATCH(L73,$G$19:$G$67,0)),8,1)="W","AT",CONCATENATE("A",MID(INDEX($H$19:$H$67,MATCH(L73,$G$19:$G$67,0)),8,1))),"")))),""),"")</f>
        <v/>
      </c>
      <c r="L76" s="100" t="str">
        <f>IFERROR(IF($AS$8="T",IF(K76="T",INDEX($J$19:$J$67,MATCH(L73,$G$19:$G$67,0)),""),""),"")</f>
        <v/>
      </c>
      <c r="M76" s="101" t="str">
        <f>IFERROR(IF($AS$8="T",IF(OR(K76="H",LEFT(K76,1)="A"),IF($AS$6="D",0.1,0.5),""),""),"")</f>
        <v/>
      </c>
      <c r="N76" s="101" t="str">
        <f>IFERROR(IF($AS$8="T",INDEX($AG$20:$AG$68,MATCH(L73,$G$19:$G$67,0)),""),"")</f>
        <v/>
      </c>
      <c r="O76" s="100" t="str">
        <f>IFERROR(IF($AS$8="T",IF(OR(INDEX($E$20:$E$68,MATCH(P73,$G$19:$G$67,0))="H",INDEX($E$20:$E$68,MATCH(P73,$G$19:$G$67,0))="T"),INDEX($E$20:$E$68,MATCH(P73,$G$19:$G$67,0)),IF(INDEX($E$20:$E$68,MATCH(P73,$G$19:$G$67,0))=3,"T",IF(OR(INDEX($E$20:$E$68,MATCH(P73,$G$19:$G$67,0))="A",INDEX($E$20:$E$68,MATCH(P73,$G$19:$G$67,0))="B",INDEX($E$20:$E$68,MATCH(P73,$G$19:$G$67,0))="C",INDEX($E$20:$E$68,MATCH(P73,$G$19:$G$67,0))="P"),CONCATENATE("A",RIGHT(INDEX($H$19:$H$67,MATCH(P73,$G$19:$G$67,0)),2)),IF(INDEX($E$20:$E$68,MATCH(P73,$G$19:$G$67,0))="PA",IF(MID(INDEX($H$19:$H$67,MATCH(P73,$G$19:$G$67,0)),8,1)="W","AT",CONCATENATE("A",MID(INDEX($H$19:$H$67,MATCH(P73,$G$19:$G$67,0)),8,1))),"")))),""),"")</f>
        <v/>
      </c>
      <c r="P76" s="100" t="str">
        <f>IFERROR(IF($AS$8="T",IF(O76="T",INDEX($J$19:$J$67,MATCH(P73,$G$19:$G$67,0)),""),""),"")</f>
        <v/>
      </c>
      <c r="Q76" s="101" t="str">
        <f>IFERROR(IF($AS$8="T",IF(OR(O76="H",LEFT(O76,1)="A"),IF($AS$6="D",0.1,0.5),""),""),"")</f>
        <v/>
      </c>
      <c r="R76" s="101" t="str">
        <f>IFERROR(IF($AS$8="T",INDEX($AG$20:$AG$68,MATCH(P73,$G$19:$G$67,0)),""),"")</f>
        <v/>
      </c>
      <c r="S76" s="100" t="str">
        <f>IFERROR(IF($AS$8="T",IF(OR(INDEX($E$20:$E$68,MATCH(T73,$G$19:$G$67,0))="H",INDEX($E$20:$E$68,MATCH(T73,$G$19:$G$67,0))="T"),INDEX($E$20:$E$68,MATCH(T73,$G$19:$G$67,0)),IF(INDEX($E$20:$E$68,MATCH(T73,$G$19:$G$67,0))=3,"T",IF(OR(INDEX($E$20:$E$68,MATCH(T73,$G$19:$G$67,0))="A",INDEX($E$20:$E$68,MATCH(T73,$G$19:$G$67,0))="B",INDEX($E$20:$E$68,MATCH(T73,$G$19:$G$67,0))="C",INDEX($E$20:$E$68,MATCH(T73,$G$19:$G$67,0))="P"),CONCATENATE("A",RIGHT(INDEX($H$19:$H$67,MATCH(T73,$G$19:$G$67,0)),2)),IF(INDEX($E$20:$E$68,MATCH(T73,$G$19:$G$67,0))="PA",IF(MID(INDEX($H$19:$H$67,MATCH(T73,$G$19:$G$67,0)),8,1)="W","AT",CONCATENATE("A",MID(INDEX($H$19:$H$67,MATCH(T73,$G$19:$G$67,0)),8,1))),"")))),""),"")</f>
        <v/>
      </c>
      <c r="T76" s="100" t="str">
        <f>IFERROR(IF($AS$8="T",IF(S76="T",INDEX($J$19:$J$67,MATCH(T73,$G$19:$G$67,0)),""),""),"")</f>
        <v/>
      </c>
      <c r="U76" s="101" t="str">
        <f>IFERROR(IF($AS$8="T",IF(OR(S76="H",LEFT(S76,1)="A"),IF($AS$6="D",0.1,0.5),""),""),"")</f>
        <v/>
      </c>
      <c r="V76" s="101" t="str">
        <f>IFERROR(IF($AS$8="T",INDEX($AG$20:$AG$68,MATCH(T73,$G$19:$G$67,0)),""),"")</f>
        <v/>
      </c>
      <c r="W76" s="100" t="str">
        <f>IFERROR(IF($AS$8="T",IF(OR(INDEX($E$20:$E$68,MATCH(X73,$G$19:$G$67,0))="H",INDEX($E$20:$E$68,MATCH(X73,$G$19:$G$67,0))="T"),INDEX($E$20:$E$68,MATCH(X73,$G$19:$G$67,0)),IF(INDEX($E$20:$E$68,MATCH(X73,$G$19:$G$67,0))=3,"T",IF(OR(INDEX($E$20:$E$68,MATCH(X73,$G$19:$G$67,0))="A",INDEX($E$20:$E$68,MATCH(X73,$G$19:$G$67,0))="B",INDEX($E$20:$E$68,MATCH(X73,$G$19:$G$67,0))="C",INDEX($E$20:$E$68,MATCH(X73,$G$19:$G$67,0))="P"),CONCATENATE("A",RIGHT(INDEX($H$19:$H$67,MATCH(X73,$G$19:$G$67,0)),2)),IF(INDEX($E$20:$E$68,MATCH(X73,$G$19:$G$67,0))="PA",IF(MID(INDEX($H$19:$H$67,MATCH(X73,$G$19:$G$67,0)),8,1)="W","AT",CONCATENATE("A",MID(INDEX($H$19:$H$67,MATCH(X73,$G$19:$G$67,0)),8,1))),"")))),""),"")</f>
        <v/>
      </c>
      <c r="X76" s="100" t="str">
        <f>IFERROR(IF($AS$8="T",IF(W76="T",INDEX($J$19:$J$67,MATCH(X73,$G$19:$G$67,0)),""),""),"")</f>
        <v/>
      </c>
      <c r="Y76" s="101" t="str">
        <f>IFERROR(IF($AS$8="T",IF(OR(W76="H",LEFT(W76,1)="A"),IF($AS$6="D",0.1,0.5),""),""),"")</f>
        <v/>
      </c>
      <c r="Z76" s="101" t="str">
        <f>IFERROR(IF($AS$8="T",INDEX($AG$20:$AG$68,MATCH(X73,$G$19:$G$67,0)),""),"")</f>
        <v/>
      </c>
      <c r="AA76" s="100" t="str">
        <f>IFERROR(IF($AS$8="T",IF(OR(INDEX($E$20:$E$68,MATCH(AB73,$G$19:$G$67,0))="H",INDEX($E$20:$E$68,MATCH(AB73,$G$19:$G$67,0))="T"),INDEX($E$20:$E$68,MATCH(AB73,$G$19:$G$67,0)),IF(INDEX($E$20:$E$68,MATCH(AB73,$G$19:$G$67,0))=3,"T",IF(OR(INDEX($E$20:$E$68,MATCH(AB73,$G$19:$G$67,0))="A",INDEX($E$20:$E$68,MATCH(AB73,$G$19:$G$67,0))="B",INDEX($E$20:$E$68,MATCH(AB73,$G$19:$G$67,0))="C",INDEX($E$20:$E$68,MATCH(AB73,$G$19:$G$67,0))="P"),CONCATENATE("A",RIGHT(INDEX($H$19:$H$67,MATCH(AB73,$G$19:$G$67,0)),2)),IF(INDEX($E$20:$E$68,MATCH(AB73,$G$19:$G$67,0))="PA",IF(MID(INDEX($H$19:$H$67,MATCH(AB73,$G$19:$G$67,0)),8,1)="W","AT",CONCATENATE("A",MID(INDEX($H$19:$H$67,MATCH(AB73,$G$19:$G$67,0)),8,1))),"")))),""),"")</f>
        <v/>
      </c>
      <c r="AB76" s="100" t="str">
        <f>IFERROR(IF($AS$8="T",IF(AA76="T",INDEX($J$19:$J$67,MATCH(AB73,$G$19:$G$67,0)),""),""),"")</f>
        <v/>
      </c>
      <c r="AC76" s="101" t="str">
        <f>IFERROR(IF($AS$8="T",IF(OR(AA76="H",LEFT(AA76,1)="A"),IF($AS$6="D",0.1,0.5),""),""),"")</f>
        <v/>
      </c>
      <c r="AD76" s="101" t="str">
        <f>IFERROR(IF($AS$8="T",INDEX($AG$20:$AG$68,MATCH(AB73,$G$19:$G$67,0)),""),"")</f>
        <v/>
      </c>
      <c r="AE76" s="100" t="str">
        <f>IFERROR(IF($AS$8="T",IF(OR(INDEX($E$20:$E$68,MATCH(AF73,$G$19:$G$67,0))="H",INDEX($E$20:$E$68,MATCH(AF73,$G$19:$G$67,0))="T"),INDEX($E$20:$E$68,MATCH(AF73,$G$19:$G$67,0)),IF(INDEX($E$20:$E$68,MATCH(AF73,$G$19:$G$67,0))=3,"T",IF(OR(INDEX($E$20:$E$68,MATCH(AF73,$G$19:$G$67,0))="A",INDEX($E$20:$E$68,MATCH(AF73,$G$19:$G$67,0))="B",INDEX($E$20:$E$68,MATCH(AF73,$G$19:$G$67,0))="C",INDEX($E$20:$E$68,MATCH(AF73,$G$19:$G$67,0))="P"),CONCATENATE("A",RIGHT(INDEX($H$19:$H$67,MATCH(AF73,$G$19:$G$67,0)),2)),IF(INDEX($E$20:$E$68,MATCH(AF73,$G$19:$G$67,0))="PA",IF(MID(INDEX($H$19:$H$67,MATCH(AF73,$G$19:$G$67,0)),8,1)="W","AT",CONCATENATE("A",MID(INDEX($H$19:$H$67,MATCH(AF73,$G$19:$G$67,0)),8,1))),"")))),""),"")</f>
        <v/>
      </c>
      <c r="AF76" s="100" t="str">
        <f>IFERROR(IF($AS$8="T",IF(AE76="T",INDEX($J$19:$J$67,MATCH(AF73,$G$19:$G$67,0)),""),""),"")</f>
        <v/>
      </c>
      <c r="AG76" s="101" t="str">
        <f>IFERROR(IF($AS$8="T",IF(OR(AE76="H",LEFT(AE76,1)="A"),IF($AS$6="D",0.1,0.5),""),""),"")</f>
        <v/>
      </c>
      <c r="AH76" s="101" t="str">
        <f>IFERROR(IF($AS$8="T",INDEX($AG$20:$AG$68,MATCH(AF73,$G$19:$G$67,0)),""),"")</f>
        <v/>
      </c>
      <c r="AI76" s="100" t="str">
        <f>IFERROR(IF($AS$8="T",IF(OR(INDEX($E$20:$E$68,MATCH(AJ73,$G$19:$G$67,0))="H",INDEX($E$20:$E$68,MATCH(AJ73,$G$19:$G$67,0))="T"),INDEX($E$20:$E$68,MATCH(AJ73,$G$19:$G$67,0)),IF(INDEX($E$20:$E$68,MATCH(AJ73,$G$19:$G$67,0))=3,"T",IF(OR(INDEX($E$20:$E$68,MATCH(AJ73,$G$19:$G$67,0))="A",INDEX($E$20:$E$68,MATCH(AJ73,$G$19:$G$67,0))="B",INDEX($E$20:$E$68,MATCH(AJ73,$G$19:$G$67,0))="C",INDEX($E$20:$E$68,MATCH(AJ73,$G$19:$G$67,0))="P"),CONCATENATE("A",RIGHT(INDEX($H$19:$H$67,MATCH(AJ73,$G$19:$G$67,0)),2)),IF(INDEX($E$20:$E$68,MATCH(AJ73,$G$19:$G$67,0))="PA",IF(MID(INDEX($H$19:$H$67,MATCH(AJ73,$G$19:$G$67,0)),8,1)="W","AT",CONCATENATE("A",MID(INDEX($H$19:$H$67,MATCH(AJ73,$G$19:$G$67,0)),8,1))),"")))),""),"")</f>
        <v/>
      </c>
      <c r="AJ76" s="154" t="str">
        <f>IFERROR(IF($AS$8="T",IF(AI76="T",INDEX($J$19:$J$67,MATCH(AJ73,$G$19:$G$67,0)),""),""),"")</f>
        <v/>
      </c>
      <c r="AK76" s="153" t="str">
        <f>IFERROR(IF($AS$8="T",IF(OR(AI76="H",LEFT(AI76,1)="A"),IF($AS$6="D",0.1,0.5),""),""),"")</f>
        <v/>
      </c>
      <c r="AL76" s="153" t="str">
        <f>IFERROR(IF($AS$8="T",INDEX($AG$20:$AG$68,MATCH(AJ73,$G$19:$G$67,0)),""),"")</f>
        <v/>
      </c>
      <c r="AM76" s="154" t="str">
        <f>IFERROR(IF($AS$8="T",IF(OR(INDEX($E$20:$E$68,MATCH(AN73,$G$19:$G$67,0))="H",INDEX($E$20:$E$68,MATCH(AN73,$G$19:$G$67,0))="T"),INDEX($E$20:$E$68,MATCH(AN73,$G$19:$G$67,0)),IF(INDEX($E$20:$E$68,MATCH(AN73,$G$19:$G$67,0))=3,"T",IF(OR(INDEX($E$20:$E$68,MATCH(AN73,$G$19:$G$67,0))="A",INDEX($E$20:$E$68,MATCH(AN73,$G$19:$G$67,0))="B",INDEX($E$20:$E$68,MATCH(AN73,$G$19:$G$67,0))="C",INDEX($E$20:$E$68,MATCH(AN73,$G$19:$G$67,0))="P"),CONCATENATE("A",RIGHT(INDEX($H$19:$H$67,MATCH(AN73,$G$19:$G$67,0)),2)),IF(INDEX($E$20:$E$68,MATCH(AN73,$G$19:$G$67,0))="PA",IF(MID(INDEX($H$19:$H$67,MATCH(AN73,$G$19:$G$67,0)),8,1)="W","AT",CONCATENATE("A",MID(INDEX($H$19:$H$67,MATCH(AN73,$G$19:$G$67,0)),8,1))),"")))),""),"")</f>
        <v/>
      </c>
      <c r="AN76" s="154" t="str">
        <f>IFERROR(IF($AS$8="T",IF(AM76="T",INDEX($J$19:$J$67,MATCH(AN73,$G$19:$G$67,0)),""),""),"")</f>
        <v/>
      </c>
      <c r="AO76" s="153" t="str">
        <f>IFERROR(IF($AS$8="T",IF(OR(AM76="H",LEFT(AM76,1)="A"),IF($AS$6="D",0.1,0.5),""),""),"")</f>
        <v/>
      </c>
      <c r="AP76" s="148" t="str">
        <f>IFERROR(IF($AS$8="T",INDEX($AG$20:$AG$68,MATCH(AN73,$G$19:$G$67,0)),""),"")</f>
        <v/>
      </c>
      <c r="AQ76" s="132"/>
      <c r="AR76" s="132"/>
      <c r="AT76" s="132"/>
      <c r="AU76" s="132"/>
    </row>
    <row r="77" spans="1:83" x14ac:dyDescent="0.25">
      <c r="A77" s="43"/>
      <c r="B77" s="43"/>
      <c r="C77" s="43"/>
      <c r="D77" s="43"/>
      <c r="E77" s="44"/>
      <c r="F77" s="96"/>
      <c r="K77" s="16"/>
      <c r="L77" s="16"/>
      <c r="O77" s="16"/>
      <c r="P77" s="16"/>
      <c r="S77" s="16"/>
      <c r="T77" s="16"/>
      <c r="W77" s="16"/>
      <c r="X77" s="16"/>
      <c r="Y77" s="133" t="s">
        <v>1477</v>
      </c>
      <c r="AA77" s="16"/>
      <c r="AB77" s="16"/>
      <c r="AE77" s="16"/>
      <c r="AF77" s="16"/>
    </row>
    <row r="78" spans="1:83" x14ac:dyDescent="0.25">
      <c r="F78" s="96"/>
      <c r="G78" s="12" t="s">
        <v>782</v>
      </c>
      <c r="H78" s="16">
        <v>1</v>
      </c>
      <c r="J78" s="12" t="s">
        <v>786</v>
      </c>
      <c r="K78" s="16">
        <v>2</v>
      </c>
      <c r="M78" s="12" t="s">
        <v>787</v>
      </c>
      <c r="N78" s="16">
        <v>3</v>
      </c>
      <c r="P78" s="12" t="s">
        <v>788</v>
      </c>
      <c r="Q78" s="16">
        <v>4</v>
      </c>
      <c r="S78" s="12" t="s">
        <v>789</v>
      </c>
      <c r="T78" s="16">
        <v>5</v>
      </c>
      <c r="V78" s="12" t="s">
        <v>790</v>
      </c>
      <c r="W78" s="16">
        <v>6</v>
      </c>
      <c r="Y78" s="12" t="s">
        <v>791</v>
      </c>
      <c r="Z78" s="16">
        <v>7</v>
      </c>
      <c r="AB78" s="12" t="s">
        <v>792</v>
      </c>
      <c r="AC78" s="16">
        <v>8</v>
      </c>
      <c r="AE78" s="12" t="s">
        <v>793</v>
      </c>
      <c r="AF78" s="16">
        <v>9</v>
      </c>
      <c r="AH78" s="12" t="s">
        <v>794</v>
      </c>
      <c r="AI78" s="16">
        <v>10</v>
      </c>
      <c r="AJ78" s="152"/>
      <c r="AK78" s="152" t="s">
        <v>795</v>
      </c>
      <c r="AL78" s="151">
        <v>11</v>
      </c>
      <c r="AM78" s="152"/>
    </row>
    <row r="79" spans="1:83" x14ac:dyDescent="0.25">
      <c r="G79" s="12" t="s">
        <v>783</v>
      </c>
      <c r="H79" s="12" t="s">
        <v>784</v>
      </c>
      <c r="I79" s="12" t="s">
        <v>785</v>
      </c>
      <c r="J79" s="12" t="s">
        <v>783</v>
      </c>
      <c r="K79" s="12" t="s">
        <v>784</v>
      </c>
      <c r="L79" s="12" t="s">
        <v>785</v>
      </c>
      <c r="M79" s="12" t="s">
        <v>783</v>
      </c>
      <c r="N79" s="12" t="s">
        <v>784</v>
      </c>
      <c r="O79" s="12" t="s">
        <v>785</v>
      </c>
      <c r="P79" s="12" t="s">
        <v>783</v>
      </c>
      <c r="Q79" s="12" t="s">
        <v>784</v>
      </c>
      <c r="R79" s="12" t="s">
        <v>785</v>
      </c>
      <c r="S79" s="12" t="s">
        <v>783</v>
      </c>
      <c r="T79" s="12" t="s">
        <v>784</v>
      </c>
      <c r="U79" s="12" t="s">
        <v>785</v>
      </c>
      <c r="V79" s="12" t="s">
        <v>783</v>
      </c>
      <c r="W79" s="12" t="s">
        <v>784</v>
      </c>
      <c r="X79" s="12" t="s">
        <v>785</v>
      </c>
      <c r="Y79" s="12" t="s">
        <v>783</v>
      </c>
      <c r="Z79" s="12" t="s">
        <v>784</v>
      </c>
      <c r="AA79" s="12" t="s">
        <v>785</v>
      </c>
      <c r="AB79" s="12" t="s">
        <v>783</v>
      </c>
      <c r="AC79" s="12" t="s">
        <v>784</v>
      </c>
      <c r="AD79" s="12" t="s">
        <v>785</v>
      </c>
      <c r="AE79" s="12" t="s">
        <v>783</v>
      </c>
      <c r="AF79" s="12" t="s">
        <v>784</v>
      </c>
      <c r="AG79" s="12" t="s">
        <v>785</v>
      </c>
      <c r="AH79" s="12" t="s">
        <v>783</v>
      </c>
      <c r="AI79" s="12" t="s">
        <v>784</v>
      </c>
      <c r="AJ79" s="152" t="s">
        <v>785</v>
      </c>
      <c r="AK79" s="152" t="s">
        <v>783</v>
      </c>
      <c r="AL79" s="152" t="s">
        <v>784</v>
      </c>
      <c r="AM79" s="152" t="s">
        <v>785</v>
      </c>
    </row>
    <row r="80" spans="1:83" x14ac:dyDescent="0.25">
      <c r="G80" s="12"/>
      <c r="K80" s="16"/>
      <c r="N80" s="16"/>
      <c r="Q80" s="16"/>
      <c r="T80" s="16"/>
      <c r="W80" s="16"/>
      <c r="Z80" s="16"/>
      <c r="AC80" s="16"/>
      <c r="AF80" s="16"/>
      <c r="AI80" s="16"/>
      <c r="AL80" s="132"/>
    </row>
    <row r="81" spans="5:39" x14ac:dyDescent="0.25">
      <c r="E81" s="26" t="str">
        <f>IF(G81&lt;&gt;"","Copy green area &gt;&gt;&gt;","")</f>
        <v/>
      </c>
      <c r="F81" s="96" t="s">
        <v>781</v>
      </c>
      <c r="G81" s="100" t="str">
        <f>IFERROR(IF($AS$8&lt;&gt;"T",IF(OR(INDEX($E$20:$E$68,MATCH(H78,$G$19:$G$67,0))="H",INDEX($E$20:$E$68,MATCH(H78,$G$19:$G$67,0))="T"),INDEX($E$20:$E$68,MATCH(H78,$G$19:$G$67,0)),IF(INDEX($E$20:$E$68,MATCH(H78,$G$19:$G$67,0))=3,"T",IF(OR(INDEX($E$20:$E$68,MATCH(H78,$G$19:$G$67,0))="A",INDEX($E$20:$E$68,MATCH(H78,$G$19:$G$67,0))="B",INDEX($E$20:$E$68,MATCH(H78,$G$19:$G$67,0))="C",INDEX($E$20:$E$68,MATCH(H78,$G$19:$G$67,0))="P"),CONCATENATE("A",RIGHT(INDEX($H$19:$H$67,MATCH(H78,$G$19:$G$67,0)),2)),IF(INDEX($E$20:$E$68,MATCH(H78,$G$19:$G$67,0))="PA",IF(MID(INDEX($H$19:$H$67,MATCH(H78,$G$19:$G$67,0)),8,1)="W","AT",CONCATENATE("A",MID(INDEX($H$19:$H$67,MATCH(H78,$G$19:$G$67,0)),8,1))),"")))),""),"")</f>
        <v/>
      </c>
      <c r="H81" s="100" t="str">
        <f>IFERROR(IF($AS$8&lt;&gt;"T",IF(OR(G81="H",LEFT(G81,1)="A"),IF($AS$6="D",0.1,0.5),""),""),"")</f>
        <v/>
      </c>
      <c r="I81" s="101" t="str">
        <f>IFERROR(IF($AS$8&lt;&gt;"T",INDEX($AG$20:$AG$68,MATCH(H78,$G$19:$G$67,0)),""),"")</f>
        <v/>
      </c>
      <c r="J81" s="100" t="str">
        <f>IFERROR(IF($AS$8&lt;&gt;"T",IF(OR(INDEX($E$20:$E$68,MATCH(K78,$G$19:$G$67,0))="H",INDEX($E$20:$E$68,MATCH(K78,$G$19:$G$67,0))="T"),INDEX($E$20:$E$68,MATCH(K78,$G$19:$G$67,0)),IF(INDEX($E$20:$E$68,MATCH(K78,$G$19:$G$67,0))=3,"T",IF(OR(INDEX($E$20:$E$68,MATCH(K78,$G$19:$G$67,0))="A",INDEX($E$20:$E$68,MATCH(K78,$G$19:$G$67,0))="B",INDEX($E$20:$E$68,MATCH(K78,$G$19:$G$67,0))="C",INDEX($E$20:$E$68,MATCH(K78,$G$19:$G$67,0))="P"),CONCATENATE("A",RIGHT(INDEX($H$19:$H$67,MATCH(K78,$G$19:$G$67,0)),2)),IF(INDEX($E$20:$E$68,MATCH(K78,$G$19:$G$67,0))="PA",IF(MID(INDEX($H$19:$H$67,MATCH(K78,$G$19:$G$67,0)),8,1)="W","AT",CONCATENATE("A",MID(INDEX($H$19:$H$67,MATCH(K78,$G$19:$G$67,0)),8,1))),"")))),""),"")</f>
        <v/>
      </c>
      <c r="K81" s="100" t="str">
        <f>IFERROR(IF($AS$8&lt;&gt;"T",IF(OR(J81="H",LEFT(J81,1)="A"),IF($AS$6="D",0.1,0.5),""),""),"")</f>
        <v/>
      </c>
      <c r="L81" s="101" t="str">
        <f>IFERROR(IF($AS$8&lt;&gt;"T",INDEX($AG$20:$AG$68,MATCH(K78,$G$19:$G$67,0)),""),"")</f>
        <v/>
      </c>
      <c r="M81" s="100" t="str">
        <f>IFERROR(IF($AS$8&lt;&gt;"T",IF(OR(INDEX($E$20:$E$68,MATCH(N78,$G$19:$G$67,0))="H",INDEX($E$20:$E$68,MATCH(N78,$G$19:$G$67,0))="T"),INDEX($E$20:$E$68,MATCH(N78,$G$19:$G$67,0)),IF(INDEX($E$20:$E$68,MATCH(N78,$G$19:$G$67,0))=3,"T",IF(OR(INDEX($E$20:$E$68,MATCH(N78,$G$19:$G$67,0))="A",INDEX($E$20:$E$68,MATCH(N78,$G$19:$G$67,0))="B",INDEX($E$20:$E$68,MATCH(N78,$G$19:$G$67,0))="C",INDEX($E$20:$E$68,MATCH(N78,$G$19:$G$67,0))="P"),CONCATENATE("A",RIGHT(INDEX($H$19:$H$67,MATCH(N78,$G$19:$G$67,0)),2)),IF(INDEX($E$20:$E$68,MATCH(N78,$G$19:$G$67,0))="PA",IF(MID(INDEX($H$19:$H$67,MATCH(N78,$G$19:$G$67,0)),8,1)="W","AT",CONCATENATE("A",MID(INDEX($H$19:$H$67,MATCH(N78,$G$19:$G$67,0)),8,1))),"")))),""),"")</f>
        <v/>
      </c>
      <c r="N81" s="100" t="str">
        <f>IFERROR(IF($AS$8&lt;&gt;"T",IF(OR(M81="H",LEFT(M81,1)="A"),IF($AS$6="D",0.1,0.5),""),""),"")</f>
        <v/>
      </c>
      <c r="O81" s="101" t="str">
        <f>IFERROR(IF($AS$8&lt;&gt;"T",INDEX($AG$20:$AG$68,MATCH(N78,$G$19:$G$67,0)),""),"")</f>
        <v/>
      </c>
      <c r="P81" s="100" t="str">
        <f>IFERROR(IF($AS$8&lt;&gt;"T",IF(OR(INDEX($E$20:$E$68,MATCH(Q78,$G$19:$G$67,0))="H",INDEX($E$20:$E$68,MATCH(Q78,$G$19:$G$67,0))="T"),INDEX($E$20:$E$68,MATCH(Q78,$G$19:$G$67,0)),IF(INDEX($E$20:$E$68,MATCH(Q78,$G$19:$G$67,0))=3,"T",IF(OR(INDEX($E$20:$E$68,MATCH(Q78,$G$19:$G$67,0))="A",INDEX($E$20:$E$68,MATCH(Q78,$G$19:$G$67,0))="B",INDEX($E$20:$E$68,MATCH(Q78,$G$19:$G$67,0))="C",INDEX($E$20:$E$68,MATCH(Q78,$G$19:$G$67,0))="P"),CONCATENATE("A",RIGHT(INDEX($H$19:$H$67,MATCH(Q78,$G$19:$G$67,0)),2)),IF(INDEX($E$20:$E$68,MATCH(Q78,$G$19:$G$67,0))="PA",IF(MID(INDEX($H$19:$H$67,MATCH(Q78,$G$19:$G$67,0)),8,1)="W","AT",CONCATENATE("A",MID(INDEX($H$19:$H$67,MATCH(Q78,$G$19:$G$67,0)),8,1))),"")))),""),"")</f>
        <v/>
      </c>
      <c r="Q81" s="100" t="str">
        <f>IFERROR(IF($AS$8&lt;&gt;"T",IF(OR(P81="H",LEFT(P81,1)="A"),IF($AS$6="D",0.1,0.5),""),""),"")</f>
        <v/>
      </c>
      <c r="R81" s="101" t="str">
        <f>IFERROR(IF($AS$8&lt;&gt;"T",INDEX($AG$20:$AG$68,MATCH(Q78,$G$19:$G$67,0)),""),"")</f>
        <v/>
      </c>
      <c r="S81" s="100" t="str">
        <f>IFERROR(IF($AS$8&lt;&gt;"T",IF(OR(INDEX($E$20:$E$68,MATCH(T78,$G$19:$G$67,0))="H",INDEX($E$20:$E$68,MATCH(T78,$G$19:$G$67,0))="T"),INDEX($E$20:$E$68,MATCH(T78,$G$19:$G$67,0)),IF(INDEX($E$20:$E$68,MATCH(T78,$G$19:$G$67,0))=3,"T",IF(OR(INDEX($E$20:$E$68,MATCH(T78,$G$19:$G$67,0))="A",INDEX($E$20:$E$68,MATCH(T78,$G$19:$G$67,0))="B",INDEX($E$20:$E$68,MATCH(T78,$G$19:$G$67,0))="C",INDEX($E$20:$E$68,MATCH(T78,$G$19:$G$67,0))="P"),CONCATENATE("A",RIGHT(INDEX($H$19:$H$67,MATCH(T78,$G$19:$G$67,0)),2)),IF(INDEX($E$20:$E$68,MATCH(T78,$G$19:$G$67,0))="PA",IF(MID(INDEX($H$19:$H$67,MATCH(T78,$G$19:$G$67,0)),8,1)="W","AT",CONCATENATE("A",MID(INDEX($H$19:$H$67,MATCH(T78,$G$19:$G$67,0)),8,1))),"")))),""),"")</f>
        <v/>
      </c>
      <c r="T81" s="100" t="str">
        <f>IFERROR(IF($AS$8&lt;&gt;"T",IF(OR(S81="H",LEFT(S81,1)="A"),IF($AS$6="D",0.1,0.5),""),""),"")</f>
        <v/>
      </c>
      <c r="U81" s="101" t="str">
        <f>IFERROR(IF($AS$8&lt;&gt;"T",INDEX($AG$20:$AG$68,MATCH(T78,$G$19:$G$67,0)),""),"")</f>
        <v/>
      </c>
      <c r="V81" s="100" t="str">
        <f>IFERROR(IF($AS$8&lt;&gt;"T",IF(OR(INDEX($E$20:$E$68,MATCH(W78,$G$19:$G$67,0))="H",INDEX($E$20:$E$68,MATCH(W78,$G$19:$G$67,0))="T"),INDEX($E$20:$E$68,MATCH(W78,$G$19:$G$67,0)),IF(INDEX($E$20:$E$68,MATCH(W78,$G$19:$G$67,0))=3,"T",IF(OR(INDEX($E$20:$E$68,MATCH(W78,$G$19:$G$67,0))="A",INDEX($E$20:$E$68,MATCH(W78,$G$19:$G$67,0))="B",INDEX($E$20:$E$68,MATCH(W78,$G$19:$G$67,0))="C",INDEX($E$20:$E$68,MATCH(W78,$G$19:$G$67,0))="P"),CONCATENATE("A",RIGHT(INDEX($H$19:$H$67,MATCH(W78,$G$19:$G$67,0)),2)),IF(INDEX($E$20:$E$68,MATCH(W78,$G$19:$G$67,0))="PA",IF(MID(INDEX($H$19:$H$67,MATCH(W78,$G$19:$G$67,0)),8,1)="W","AT",CONCATENATE("A",MID(INDEX($H$19:$H$67,MATCH(W78,$G$19:$G$67,0)),8,1))),"")))),""),"")</f>
        <v/>
      </c>
      <c r="W81" s="100" t="str">
        <f>IFERROR(IF($AS$8&lt;&gt;"T",IF(OR(V81="H",LEFT(V81,1)="A"),IF($AS$6="D",0.1,0.5),""),""),"")</f>
        <v/>
      </c>
      <c r="X81" s="101" t="str">
        <f>IFERROR(IF($AS$8&lt;&gt;"T",INDEX($AG$20:$AG$68,MATCH(W78,$G$19:$G$67,0)),""),"")</f>
        <v/>
      </c>
      <c r="Y81" s="100" t="str">
        <f>IFERROR(IF($AS$8&lt;&gt;"T",IF(OR(INDEX($E$20:$E$68,MATCH(Z78,$G$19:$G$67,0))="H",INDEX($E$20:$E$68,MATCH(Z78,$G$19:$G$67,0))="T"),INDEX($E$20:$E$68,MATCH(Z78,$G$19:$G$67,0)),IF(INDEX($E$20:$E$68,MATCH(Z78,$G$19:$G$67,0))=3,"T",IF(OR(INDEX($E$20:$E$68,MATCH(Z78,$G$19:$G$67,0))="A",INDEX($E$20:$E$68,MATCH(Z78,$G$19:$G$67,0))="B",INDEX($E$20:$E$68,MATCH(Z78,$G$19:$G$67,0))="C",INDEX($E$20:$E$68,MATCH(Z78,$G$19:$G$67,0))="P"),CONCATENATE("A",RIGHT(INDEX($H$19:$H$67,MATCH(Z78,$G$19:$G$67,0)),2)),IF(INDEX($E$20:$E$68,MATCH(Z78,$G$19:$G$67,0))="PA",IF(MID(INDEX($H$19:$H$67,MATCH(Z78,$G$19:$G$67,0)),8,1)="W","AT",CONCATENATE("A",MID(INDEX($H$19:$H$67,MATCH(Z78,$G$19:$G$67,0)),8,1))),"")))),""),"")</f>
        <v/>
      </c>
      <c r="Z81" s="100" t="str">
        <f>IFERROR(IF($AS$8&lt;&gt;"T",IF(OR(Y81="H",LEFT(Y81,1)="A"),IF($AS$6="D",0.1,0.5),""),""),"")</f>
        <v/>
      </c>
      <c r="AA81" s="101" t="str">
        <f>IFERROR(IF($AS$8&lt;&gt;"T",INDEX($AG$20:$AG$68,MATCH(Z78,$G$19:$G$67,0)),""),"")</f>
        <v/>
      </c>
      <c r="AB81" s="100" t="str">
        <f>IFERROR(IF($AS$8&lt;&gt;"T",IF(OR(INDEX($E$20:$E$68,MATCH(AC78,$G$19:$G$67,0))="H",INDEX($E$20:$E$68,MATCH(AC78,$G$19:$G$67,0))="T"),INDEX($E$20:$E$68,MATCH(AC78,$G$19:$G$67,0)),IF(INDEX($E$20:$E$68,MATCH(AC78,$G$19:$G$67,0))=3,"T",IF(OR(INDEX($E$20:$E$68,MATCH(AC78,$G$19:$G$67,0))="A",INDEX($E$20:$E$68,MATCH(AC78,$G$19:$G$67,0))="B",INDEX($E$20:$E$68,MATCH(AC78,$G$19:$G$67,0))="C",INDEX($E$20:$E$68,MATCH(AC78,$G$19:$G$67,0))="P"),CONCATENATE("A",RIGHT(INDEX($H$19:$H$67,MATCH(AC78,$G$19:$G$67,0)),2)),IF(INDEX($E$20:$E$68,MATCH(AC78,$G$19:$G$67,0))="PA",IF(MID(INDEX($H$19:$H$67,MATCH(AC78,$G$19:$G$67,0)),8,1)="W","AT",CONCATENATE("A",MID(INDEX($H$19:$H$67,MATCH(AC78,$G$19:$G$67,0)),8,1))),"")))),""),"")</f>
        <v/>
      </c>
      <c r="AC81" s="100" t="str">
        <f>IFERROR(IF($AS$8&lt;&gt;"T",IF(OR(AB81="H",LEFT(AB81,1)="A"),IF($AS$6="D",0.1,0.5),""),""),"")</f>
        <v/>
      </c>
      <c r="AD81" s="101" t="str">
        <f>IFERROR(IF($AS$8&lt;&gt;"T",INDEX($AG$20:$AG$68,MATCH(AC78,$G$19:$G$67,0)),""),"")</f>
        <v/>
      </c>
      <c r="AE81" s="100" t="str">
        <f>IFERROR(IF($AS$8&lt;&gt;"T",IF(OR(INDEX($E$20:$E$68,MATCH(AF78,$G$19:$G$67,0))="H",INDEX($E$20:$E$68,MATCH(AF78,$G$19:$G$67,0))="T"),INDEX($E$20:$E$68,MATCH(AF78,$G$19:$G$67,0)),IF(INDEX($E$20:$E$68,MATCH(AF78,$G$19:$G$67,0))=3,"T",IF(OR(INDEX($E$20:$E$68,MATCH(AF78,$G$19:$G$67,0))="A",INDEX($E$20:$E$68,MATCH(AF78,$G$19:$G$67,0))="B",INDEX($E$20:$E$68,MATCH(AF78,$G$19:$G$67,0))="C",INDEX($E$20:$E$68,MATCH(AF78,$G$19:$G$67,0))="P"),CONCATENATE("A",RIGHT(INDEX($H$19:$H$67,MATCH(AF78,$G$19:$G$67,0)),2)),IF(INDEX($E$20:$E$68,MATCH(AF78,$G$19:$G$67,0))="PA",IF(MID(INDEX($H$19:$H$67,MATCH(AF78,$G$19:$G$67,0)),8,1)="W","AT",CONCATENATE("A",MID(INDEX($H$19:$H$67,MATCH(AF78,$G$19:$G$67,0)),8,1))),"")))),""),"")</f>
        <v/>
      </c>
      <c r="AF81" s="100" t="str">
        <f>IFERROR(IF($AS$8&lt;&gt;"T",IF(OR(AE81="H",LEFT(AE81,1)="A"),IF($AS$6="D",0.1,0.5),""),""),"")</f>
        <v/>
      </c>
      <c r="AG81" s="101" t="str">
        <f>IFERROR(IF($AS$8&lt;&gt;"T",INDEX($AG$20:$AG$68,MATCH(AF78,$G$19:$G$67,0)),""),"")</f>
        <v/>
      </c>
      <c r="AH81" s="100" t="str">
        <f>IFERROR(IF($AS$8&lt;&gt;"T",IF(OR(INDEX($E$20:$E$68,MATCH(AI78,$G$19:$G$67,0))="H",INDEX($E$20:$E$68,MATCH(AI78,$G$19:$G$67,0))="T"),INDEX($E$20:$E$68,MATCH(AI78,$G$19:$G$67,0)),IF(INDEX($E$20:$E$68,MATCH(AI78,$G$19:$G$67,0))=3,"T",IF(OR(INDEX($E$20:$E$68,MATCH(AI78,$G$19:$G$67,0))="A",INDEX($E$20:$E$68,MATCH(AI78,$G$19:$G$67,0))="B",INDEX($E$20:$E$68,MATCH(AI78,$G$19:$G$67,0))="C",INDEX($E$20:$E$68,MATCH(AI78,$G$19:$G$67,0))="P"),CONCATENATE("A",RIGHT(INDEX($H$19:$H$67,MATCH(AI78,$G$19:$G$67,0)),2)),IF(INDEX($E$20:$E$68,MATCH(AI78,$G$19:$G$67,0))="PA",IF(MID(INDEX($H$19:$H$67,MATCH(AI78,$G$19:$G$67,0)),8,1)="W","AT",CONCATENATE("A",MID(INDEX($H$19:$H$67,MATCH(AI78,$G$19:$G$67,0)),8,1))),"")))),""),"")</f>
        <v/>
      </c>
      <c r="AI81" s="100" t="str">
        <f>IFERROR(IF($AS$8&lt;&gt;"T",IF(OR(AH81="H",LEFT(AH81,1)="A"),IF($AS$6="D",0.1,0.5),""),""),"")</f>
        <v/>
      </c>
      <c r="AJ81" s="153" t="str">
        <f>IFERROR(IF($AS$8&lt;&gt;"T",INDEX($AG$20:$AG$68,MATCH(AI78,$G$19:$G$67,0)),""),"")</f>
        <v/>
      </c>
      <c r="AK81" s="154" t="str">
        <f>IFERROR(IF($AS$8&lt;&gt;"T",IF(OR(INDEX($E$20:$E$68,MATCH(AL78,$G$19:$G$67,0))="H",INDEX($E$20:$E$68,MATCH(AL78,$G$19:$G$67,0))="T"),INDEX($E$20:$E$68,MATCH(AL78,$G$19:$G$67,0)),IF(INDEX($E$20:$E$68,MATCH(AL78,$G$19:$G$67,0))=3,"T",IF(OR(INDEX($E$20:$E$68,MATCH(AL78,$G$19:$G$67,0))="A",INDEX($E$20:$E$68,MATCH(AL78,$G$19:$G$67,0))="B",INDEX($E$20:$E$68,MATCH(AL78,$G$19:$G$67,0))="C",INDEX($E$20:$E$68,MATCH(AL78,$G$19:$G$67,0))="P"),CONCATENATE("A",RIGHT(INDEX($H$19:$H$67,MATCH(AL78,$G$19:$G$67,0)),2)),IF(INDEX($E$20:$E$68,MATCH(AL78,$G$19:$G$67,0))="PA",IF(MID(INDEX($H$19:$H$67,MATCH(AL78,$G$19:$G$67,0)),8,1)="W","AT",CONCATENATE("A",MID(INDEX($H$19:$H$67,MATCH(AL78,$G$19:$G$67,0)),8,1))),"")))),""),"")</f>
        <v/>
      </c>
      <c r="AL81" s="154" t="str">
        <f>IFERROR(IF($AS$8&lt;&gt;"T",IF(OR(AK81="H",LEFT(AK81,1)="A"),IF($AS$6="D",0.1,0.5),""),""),"")</f>
        <v/>
      </c>
      <c r="AM81" s="153" t="str">
        <f>IFERROR(IF($AS$8&lt;&gt;"T",INDEX($AG$20:$AG$68,MATCH(AL78,$G$19:$G$67,0)),""),"")</f>
        <v/>
      </c>
    </row>
  </sheetData>
  <sheetProtection algorithmName="SHA-512" hashValue="4kv13pjK+uHqNd9+hnVkOCW4oCjN4nxgmlcZ6K4KqcGoBF2nQzs1c0XCCH32LCc6GBihSvXjgTjnqEGHwB6wDg==" saltValue="yOXQwsqPqKVZEJG6J979MA==" spinCount="100000" sheet="1" formatColumns="0" deleteColumns="0" selectLockedCells="1"/>
  <mergeCells count="17">
    <mergeCell ref="AR9:AT9"/>
    <mergeCell ref="A8:D8"/>
    <mergeCell ref="A17:B17"/>
    <mergeCell ref="A7:D7"/>
    <mergeCell ref="C17:D17"/>
    <mergeCell ref="A9:D9"/>
    <mergeCell ref="F9:AG9"/>
    <mergeCell ref="A15:AG15"/>
    <mergeCell ref="H16:I16"/>
    <mergeCell ref="AB16:AF17"/>
    <mergeCell ref="G1:AB4"/>
    <mergeCell ref="A5:D5"/>
    <mergeCell ref="A6:D6"/>
    <mergeCell ref="F6:L6"/>
    <mergeCell ref="Q5:AG5"/>
    <mergeCell ref="N6:AG6"/>
    <mergeCell ref="F5:I5"/>
  </mergeCells>
  <phoneticPr fontId="9" type="noConversion"/>
  <conditionalFormatting sqref="A6:C6 A7 A8:C12 A13:B14 A15:C16">
    <cfRule type="containsText" dxfId="228" priority="278" operator="containsText" text="ACROBATIC">
      <formula>NOT(ISERROR(SEARCH("ACROBATIC",A6)))</formula>
    </cfRule>
    <cfRule type="containsText" dxfId="227" priority="279" operator="containsText" text="HYBRID">
      <formula>NOT(ISERROR(SEARCH("HYBRID",A6)))</formula>
    </cfRule>
    <cfRule type="containsText" dxfId="226" priority="277" operator="containsText" text="TRANSITION">
      <formula>NOT(ISERROR(SEARCH("TRANSITION",A6)))</formula>
    </cfRule>
    <cfRule type="containsText" dxfId="225" priority="276" operator="containsText" text="BONUSES">
      <formula>NOT(ISERROR(SEARCH("BONUSES",A6)))</formula>
    </cfRule>
    <cfRule type="containsText" dxfId="224" priority="275" operator="containsText" text=" ">
      <formula>NOT(ISERROR(SEARCH(" ",A6)))</formula>
    </cfRule>
  </conditionalFormatting>
  <conditionalFormatting sqref="C19 C21 C23 C25 C27 C29 C31 C33 C35 C37 C39 C41 C43 C45 C47 C49 C51 C53 C55 C57 C59 C61 C63 C65 C67 C69">
    <cfRule type="cellIs" dxfId="223" priority="230" operator="lessThan">
      <formula>0</formula>
    </cfRule>
  </conditionalFormatting>
  <conditionalFormatting sqref="C21 C23 C25 C27 C29 C31 C33 C35 C37 C39 C41 C43 C45 C47 C49 C51 C53 C55 C57 C59 C61 C63 C65 C67">
    <cfRule type="expression" dxfId="222" priority="248">
      <formula>AND(B21&lt;&gt;"",E19="",C21="")</formula>
    </cfRule>
  </conditionalFormatting>
  <conditionalFormatting sqref="C14:D14">
    <cfRule type="expression" dxfId="221" priority="225" stopIfTrue="1">
      <formula>AND($F$8&lt;&gt;"",$C$13="Y")</formula>
    </cfRule>
    <cfRule type="notContainsBlanks" dxfId="220" priority="231">
      <formula>LEN(TRIM(C14))&gt;0</formula>
    </cfRule>
  </conditionalFormatting>
  <conditionalFormatting sqref="C19:D19 C21:D21 C23:D23 C25:D25 C27:D27 C29:D29 C31:D31 C33:D33 C35:D35 C37:D37 C39:D39 C41:D41 C43:D43 C45:D45 C47:D47 C49:D49 C51:D51 C53:D53 C55:D55 C57:D57 C59:D59 C61:D61 C63:D63 C65:D65 C67:D67 C69:D69">
    <cfRule type="expression" dxfId="219" priority="39">
      <formula>$AS19&gt;$D$12</formula>
    </cfRule>
    <cfRule type="expression" dxfId="218" priority="228">
      <formula>AND(C19="",A19=0)</formula>
    </cfRule>
  </conditionalFormatting>
  <conditionalFormatting sqref="C19:D72">
    <cfRule type="expression" dxfId="217" priority="1093">
      <formula>$AS19&lt;=$AR19</formula>
    </cfRule>
  </conditionalFormatting>
  <conditionalFormatting sqref="C21:D21 C23:D23 C25:D25 C27:D27 C29:D29 C31:D31 C33:D33 C35:D35 C37:D37 C39:D39 C41:D41 C43:D43 C45:D45 C47:D47 C49:D49 C51:D51 C53:D53 C55:D55 C57:D57 C59:D59 C61:D61 C63:D63 C65:D65 C67:D67 C69:D69 C71:D71">
    <cfRule type="expression" dxfId="216" priority="1094" stopIfTrue="1">
      <formula>$AR21=""</formula>
    </cfRule>
  </conditionalFormatting>
  <conditionalFormatting sqref="C73:D73 C75:D75">
    <cfRule type="expression" dxfId="215" priority="268" stopIfTrue="1">
      <formula>$AI73=""</formula>
    </cfRule>
  </conditionalFormatting>
  <conditionalFormatting sqref="C73:D77">
    <cfRule type="expression" dxfId="214" priority="269">
      <formula>$AJ73&lt;=$AI73</formula>
    </cfRule>
  </conditionalFormatting>
  <conditionalFormatting sqref="D11:D12">
    <cfRule type="containsText" dxfId="213" priority="236" operator="containsText" text="HYBRID">
      <formula>NOT(ISERROR(SEARCH("HYBRID",D11)))</formula>
    </cfRule>
    <cfRule type="containsText" dxfId="212" priority="232" operator="containsText" text=" ">
      <formula>NOT(ISERROR(SEARCH(" ",D11)))</formula>
    </cfRule>
    <cfRule type="containsText" dxfId="211" priority="233" operator="containsText" text="BONUSES">
      <formula>NOT(ISERROR(SEARCH("BONUSES",D11)))</formula>
    </cfRule>
    <cfRule type="containsText" dxfId="210" priority="235" operator="containsText" text="ACROBATIC">
      <formula>NOT(ISERROR(SEARCH("ACROBATIC",D11)))</formula>
    </cfRule>
    <cfRule type="containsText" dxfId="209" priority="234" operator="containsText" text="TRANSITION">
      <formula>NOT(ISERROR(SEARCH("TRANSITION",D11)))</formula>
    </cfRule>
  </conditionalFormatting>
  <conditionalFormatting sqref="D21 D23 D25 D27 D29 D31 D33 D35 D37 D39 D41 D43 D45 D47 D49 D51 D53 D55 D57 D59 D61 D63 D65 D67">
    <cfRule type="expression" dxfId="208" priority="247">
      <formula>AND(B21&lt;&gt;"",E19="",D21="")</formula>
    </cfRule>
  </conditionalFormatting>
  <conditionalFormatting sqref="F19 F21 F23 F25 F27 F29 F31 F33 F35 F37 F39 F41 F43 F45 F47 F49 F51 F53 F55 F57 F59 F61 F63 F65 F67 F69:F72">
    <cfRule type="containsText" dxfId="207" priority="262" operator="containsText" text="Technical Required Element">
      <formula>NOT(ISERROR(SEARCH("Technical Required Element",F19)))</formula>
    </cfRule>
    <cfRule type="containsText" dxfId="206" priority="265" operator="containsText" text="Transition">
      <formula>NOT(ISERROR(SEARCH("Transition",F19)))</formula>
    </cfRule>
    <cfRule type="containsText" dxfId="205" priority="264" operator="containsText" text="Acrobatic">
      <formula>NOT(ISERROR(SEARCH("Acrobatic",F19)))</formula>
    </cfRule>
    <cfRule type="containsText" dxfId="204" priority="263" operator="containsText" text="Hybrid">
      <formula>NOT(ISERROR(SEARCH("Hybrid",F19)))</formula>
    </cfRule>
  </conditionalFormatting>
  <conditionalFormatting sqref="F21 F23 F25 F27 F29 F31 F33 F35 F37 F39 F41 F43 F45 F47 F49 F51 F53 F55 F57 F59 F61 F63 F65 F67 F19 F69:F72">
    <cfRule type="cellIs" dxfId="203" priority="218" operator="equal">
      <formula>"Connected Surface Movment"</formula>
    </cfRule>
  </conditionalFormatting>
  <conditionalFormatting sqref="F21 F23 F25 F27 F29 F31 F33 F35 F37 F39 F41 F43 F45 F47 F49 F51 F53 F55 F57 F59 F61 F63 F65 F67">
    <cfRule type="expression" dxfId="202" priority="217" stopIfTrue="1">
      <formula>AND(LEFT(F19,6)="Hybrid",LEFT(F21,6)="Hybrid")</formula>
    </cfRule>
    <cfRule type="expression" dxfId="201" priority="212" stopIfTrue="1">
      <formula>AND(F19="Transition",F21="Transition")</formula>
    </cfRule>
  </conditionalFormatting>
  <conditionalFormatting sqref="F69:F72 F19 F21 F23 F25 F27 F29 F31 F33 F35 F37 F39 F41 F43 F45 F47 F49 F51 F53 F55 F57 F59 F61 F63 F65 F67">
    <cfRule type="expression" dxfId="200" priority="226">
      <formula>AND(F19="",A19&lt;&gt;"")</formula>
    </cfRule>
  </conditionalFormatting>
  <conditionalFormatting sqref="F69:F72">
    <cfRule type="expression" dxfId="199" priority="224" stopIfTrue="1">
      <formula>AND(F69="Hybrid",F67="Hybrid")</formula>
    </cfRule>
  </conditionalFormatting>
  <conditionalFormatting sqref="G76">
    <cfRule type="expression" dxfId="198" priority="178">
      <formula>G76=""</formula>
    </cfRule>
    <cfRule type="expression" dxfId="197" priority="177" stopIfTrue="1">
      <formula>G76&lt;&gt;""</formula>
    </cfRule>
  </conditionalFormatting>
  <conditionalFormatting sqref="G81">
    <cfRule type="expression" dxfId="196" priority="105" stopIfTrue="1">
      <formula>G81&lt;&gt;""</formula>
    </cfRule>
    <cfRule type="expression" dxfId="195" priority="106">
      <formula>G81=""</formula>
    </cfRule>
  </conditionalFormatting>
  <conditionalFormatting sqref="G12:S13 U12:AA13">
    <cfRule type="cellIs" dxfId="194" priority="257" stopIfTrue="1" operator="equal">
      <formula>0</formula>
    </cfRule>
  </conditionalFormatting>
  <conditionalFormatting sqref="G19:AF19 G21:AF21 G23:AF23 G25:AF25 G27:AF27 G29:AF29 G31:AF31 G33:AF33 G35:AF35 G37:AF37 G39:AF39 G41:AF41 G43:AF43 G45:AF45 G47:AF47 G49:AF49 G51:AF51 G53:AF53 G55:AF55 G57:AF57 G59:AF59 G61:AF61 G63:AF63 G65:AF65 G67:AF67 G69 J69:AF69">
    <cfRule type="expression" dxfId="193" priority="222">
      <formula>AND($F19&lt;&gt;"",$F21="")</formula>
    </cfRule>
  </conditionalFormatting>
  <conditionalFormatting sqref="H76">
    <cfRule type="expression" dxfId="192" priority="175" stopIfTrue="1">
      <formula>G76&lt;&gt;""</formula>
    </cfRule>
    <cfRule type="expression" dxfId="191" priority="176">
      <formula>G76=""</formula>
    </cfRule>
  </conditionalFormatting>
  <conditionalFormatting sqref="H81">
    <cfRule type="expression" dxfId="190" priority="104">
      <formula>G81=""</formula>
    </cfRule>
    <cfRule type="expression" dxfId="189" priority="103" stopIfTrue="1">
      <formula>G81&lt;&gt;""</formula>
    </cfRule>
  </conditionalFormatting>
  <conditionalFormatting sqref="H13:J13">
    <cfRule type="expression" dxfId="188" priority="216" stopIfTrue="1">
      <formula>H13&gt;H12</formula>
    </cfRule>
  </conditionalFormatting>
  <conditionalFormatting sqref="H12:S12 U12:AA12">
    <cfRule type="cellIs" dxfId="187" priority="254" operator="greaterThan">
      <formula>0</formula>
    </cfRule>
  </conditionalFormatting>
  <conditionalFormatting sqref="H13:S13 U13:AA13">
    <cfRule type="expression" dxfId="186" priority="256">
      <formula>H$13&gt;H$12</formula>
    </cfRule>
    <cfRule type="expression" dxfId="185" priority="258">
      <formula>H$13=H$12</formula>
    </cfRule>
  </conditionalFormatting>
  <conditionalFormatting sqref="I76">
    <cfRule type="expression" dxfId="184" priority="173" stopIfTrue="1">
      <formula>G76&lt;&gt;""</formula>
    </cfRule>
    <cfRule type="expression" dxfId="183" priority="174">
      <formula>G76=""</formula>
    </cfRule>
  </conditionalFormatting>
  <conditionalFormatting sqref="I81">
    <cfRule type="expression" dxfId="182" priority="101" stopIfTrue="1">
      <formula>G81&lt;&gt;""</formula>
    </cfRule>
    <cfRule type="expression" dxfId="181" priority="102">
      <formula>G81=""</formula>
    </cfRule>
  </conditionalFormatting>
  <conditionalFormatting sqref="J13">
    <cfRule type="expression" dxfId="180" priority="213">
      <formula>$F$8="Acrobatic"</formula>
    </cfRule>
  </conditionalFormatting>
  <conditionalFormatting sqref="J76">
    <cfRule type="expression" dxfId="179" priority="171" stopIfTrue="1">
      <formula>G76&lt;&gt;""</formula>
    </cfRule>
    <cfRule type="expression" dxfId="178" priority="172">
      <formula>G76=""</formula>
    </cfRule>
  </conditionalFormatting>
  <conditionalFormatting sqref="J81">
    <cfRule type="expression" dxfId="177" priority="35" stopIfTrue="1">
      <formula>J81&lt;&gt;""</formula>
    </cfRule>
    <cfRule type="expression" dxfId="176" priority="36">
      <formula>J81=""</formula>
    </cfRule>
  </conditionalFormatting>
  <conditionalFormatting sqref="J19:AF69">
    <cfRule type="expression" dxfId="175" priority="191">
      <formula>OR(AND(LEFT(J19,1)="T",_xlfn.NUMBERVALUE(RIGHT(J19,1))&lt;5,$AW19&gt;2),AND(LEFT(J19,1)="R",$AX19&gt;2),AND(LEFT(J19,1)="A",$AY19&gt;2),AND(LEFT(J19,1)="F",$AZ19&gt;2),AND(LEFT(J19,1)="C",$BA19&gt;2))</formula>
    </cfRule>
    <cfRule type="expression" dxfId="174" priority="223">
      <formula>AND(OR($F19="Transition",$F19="Connected Surface Movment"),$F21="")</formula>
    </cfRule>
  </conditionalFormatting>
  <conditionalFormatting sqref="J20:AF20 J22:AF22 J24:AF24 J26:AF26 J28:AF28 J30:AF30 J32:AF32 J34:AF34 J36:AF36 J38:AF38 J40:AF40 J42:AF42 J44:AF44 J46:AF46 J48:AF48 J50:AF50 J52:AF52 J54:AF54 J56:AF56 J58:AF58 J60:AF60 J62:AF62 J64:AF64 J66:AF66 J68:AF68">
    <cfRule type="cellIs" dxfId="173" priority="249" operator="equal">
      <formula>0</formula>
    </cfRule>
  </conditionalFormatting>
  <conditionalFormatting sqref="K7">
    <cfRule type="expression" dxfId="172" priority="210">
      <formula>$M$7="X"</formula>
    </cfRule>
  </conditionalFormatting>
  <conditionalFormatting sqref="K8">
    <cfRule type="expression" dxfId="171" priority="208">
      <formula>$M$8="X"</formula>
    </cfRule>
  </conditionalFormatting>
  <conditionalFormatting sqref="K76">
    <cfRule type="expression" dxfId="170" priority="15" stopIfTrue="1">
      <formula>K76&lt;&gt;""</formula>
    </cfRule>
    <cfRule type="expression" dxfId="169" priority="16">
      <formula>K76=""</formula>
    </cfRule>
  </conditionalFormatting>
  <conditionalFormatting sqref="K81">
    <cfRule type="expression" dxfId="168" priority="98">
      <formula>J81=""</formula>
    </cfRule>
    <cfRule type="expression" dxfId="167" priority="97" stopIfTrue="1">
      <formula>J81&lt;&gt;""</formula>
    </cfRule>
  </conditionalFormatting>
  <conditionalFormatting sqref="K13:M13">
    <cfRule type="expression" dxfId="166" priority="214" stopIfTrue="1">
      <formula>(AND(K12&lt;1,K13&gt;K12))</formula>
    </cfRule>
  </conditionalFormatting>
  <conditionalFormatting sqref="K19:AF19 K21:AF21 K23:AF23 K25:AF25 K27:AF27 K29:AF29 K31:AF31 K33:AF33 K35:AF35 K37:AF37 K39:AF39 K41:AF41 K43:AF43 K45:AF45 K47:AF47 K49:AF49 K51:AF51 K53:AF53 K55:AF55 K57:AF57 K59:AF59 K61:AF61 K63:AF63 K65:AF65 K67:AF67 K69:AF69">
    <cfRule type="expression" dxfId="165" priority="250">
      <formula>AND($F21="",OR($F19="Technical Required Element",$F19="Acrobatic"))</formula>
    </cfRule>
  </conditionalFormatting>
  <conditionalFormatting sqref="L5">
    <cfRule type="expression" dxfId="164" priority="183">
      <formula>$A$5="Club:"</formula>
    </cfRule>
  </conditionalFormatting>
  <conditionalFormatting sqref="L7">
    <cfRule type="expression" dxfId="163" priority="209">
      <formula>$M$7&lt;&gt;"X"</formula>
    </cfRule>
  </conditionalFormatting>
  <conditionalFormatting sqref="L8">
    <cfRule type="expression" dxfId="162" priority="207">
      <formula>$M$8=""</formula>
    </cfRule>
  </conditionalFormatting>
  <conditionalFormatting sqref="L76">
    <cfRule type="expression" dxfId="161" priority="168">
      <formula>K76=""</formula>
    </cfRule>
    <cfRule type="expression" dxfId="160" priority="167" stopIfTrue="1">
      <formula>K76&lt;&gt;""</formula>
    </cfRule>
  </conditionalFormatting>
  <conditionalFormatting sqref="L81">
    <cfRule type="expression" dxfId="159" priority="96">
      <formula>J81=""</formula>
    </cfRule>
    <cfRule type="expression" dxfId="158" priority="95" stopIfTrue="1">
      <formula>J81&lt;&gt;""</formula>
    </cfRule>
  </conditionalFormatting>
  <conditionalFormatting sqref="M5">
    <cfRule type="containsText" dxfId="157" priority="201" operator="containsText" text="HYBRID">
      <formula>NOT(ISERROR(SEARCH("HYBRID",M5)))</formula>
    </cfRule>
    <cfRule type="containsText" dxfId="156" priority="200" operator="containsText" text="ACROBATIC">
      <formula>NOT(ISERROR(SEARCH("ACROBATIC",M5)))</formula>
    </cfRule>
    <cfRule type="containsText" dxfId="155" priority="199" operator="containsText" text="TRANSITION">
      <formula>NOT(ISERROR(SEARCH("TRANSITION",M5)))</formula>
    </cfRule>
    <cfRule type="containsText" dxfId="154" priority="198" operator="containsText" text="BONUSES">
      <formula>NOT(ISERROR(SEARCH("BONUSES",M5)))</formula>
    </cfRule>
    <cfRule type="containsText" dxfId="153" priority="197" operator="containsText" text=" ">
      <formula>NOT(ISERROR(SEARCH(" ",M5)))</formula>
    </cfRule>
  </conditionalFormatting>
  <conditionalFormatting sqref="M76">
    <cfRule type="expression" dxfId="152" priority="166">
      <formula>K76=""</formula>
    </cfRule>
    <cfRule type="expression" dxfId="151" priority="165" stopIfTrue="1">
      <formula>K76&lt;&gt;""</formula>
    </cfRule>
  </conditionalFormatting>
  <conditionalFormatting sqref="M81">
    <cfRule type="expression" dxfId="150" priority="33" stopIfTrue="1">
      <formula>M81&lt;&gt;""</formula>
    </cfRule>
    <cfRule type="expression" dxfId="149" priority="34">
      <formula>M81=""</formula>
    </cfRule>
  </conditionalFormatting>
  <conditionalFormatting sqref="M6:N6">
    <cfRule type="containsText" dxfId="148" priority="206" operator="containsText" text="HYBRID">
      <formula>NOT(ISERROR(SEARCH("HYBRID",M6)))</formula>
    </cfRule>
    <cfRule type="containsText" dxfId="147" priority="205" operator="containsText" text="ACROBATIC">
      <formula>NOT(ISERROR(SEARCH("ACROBATIC",M6)))</formula>
    </cfRule>
    <cfRule type="containsText" dxfId="146" priority="204" operator="containsText" text="TRANSITION">
      <formula>NOT(ISERROR(SEARCH("TRANSITION",M6)))</formula>
    </cfRule>
    <cfRule type="containsText" dxfId="145" priority="203" operator="containsText" text="BONUSES">
      <formula>NOT(ISERROR(SEARCH("BONUSES",M6)))</formula>
    </cfRule>
    <cfRule type="containsText" dxfId="144" priority="202" operator="containsText" text=" ">
      <formula>NOT(ISERROR(SEARCH(" ",M6)))</formula>
    </cfRule>
  </conditionalFormatting>
  <conditionalFormatting sqref="N76">
    <cfRule type="expression" dxfId="143" priority="164">
      <formula>K76=""</formula>
    </cfRule>
    <cfRule type="expression" dxfId="142" priority="163" stopIfTrue="1">
      <formula>K76&lt;&gt;""</formula>
    </cfRule>
  </conditionalFormatting>
  <conditionalFormatting sqref="N81">
    <cfRule type="expression" dxfId="141" priority="92">
      <formula>M81=""</formula>
    </cfRule>
    <cfRule type="expression" dxfId="140" priority="91" stopIfTrue="1">
      <formula>M81&lt;&gt;""</formula>
    </cfRule>
  </conditionalFormatting>
  <conditionalFormatting sqref="N13:P13">
    <cfRule type="expression" dxfId="139" priority="211" stopIfTrue="1">
      <formula>N13&gt;N12</formula>
    </cfRule>
  </conditionalFormatting>
  <conditionalFormatting sqref="O5">
    <cfRule type="containsText" dxfId="138" priority="194" operator="containsText" text="TRANSITION">
      <formula>NOT(ISERROR(SEARCH("TRANSITION",O5)))</formula>
    </cfRule>
    <cfRule type="containsText" dxfId="137" priority="192" operator="containsText" text=" ">
      <formula>NOT(ISERROR(SEARCH(" ",O5)))</formula>
    </cfRule>
    <cfRule type="containsText" dxfId="136" priority="193" operator="containsText" text="BONUSES">
      <formula>NOT(ISERROR(SEARCH("BONUSES",O5)))</formula>
    </cfRule>
    <cfRule type="containsText" dxfId="135" priority="195" operator="containsText" text="ACROBATIC">
      <formula>NOT(ISERROR(SEARCH("ACROBATIC",O5)))</formula>
    </cfRule>
    <cfRule type="containsText" dxfId="134" priority="196" operator="containsText" text="HYBRID">
      <formula>NOT(ISERROR(SEARCH("HYBRID",O5)))</formula>
    </cfRule>
  </conditionalFormatting>
  <conditionalFormatting sqref="O76">
    <cfRule type="expression" dxfId="133" priority="14">
      <formula>O76=""</formula>
    </cfRule>
    <cfRule type="expression" dxfId="132" priority="13" stopIfTrue="1">
      <formula>O76&lt;&gt;""</formula>
    </cfRule>
  </conditionalFormatting>
  <conditionalFormatting sqref="O81">
    <cfRule type="expression" dxfId="131" priority="90">
      <formula>M81=""</formula>
    </cfRule>
    <cfRule type="expression" dxfId="130" priority="89" stopIfTrue="1">
      <formula>M81&lt;&gt;""</formula>
    </cfRule>
  </conditionalFormatting>
  <conditionalFormatting sqref="P76">
    <cfRule type="expression" dxfId="129" priority="160">
      <formula>O76=""</formula>
    </cfRule>
    <cfRule type="expression" dxfId="128" priority="159" stopIfTrue="1">
      <formula>O76&lt;&gt;""</formula>
    </cfRule>
  </conditionalFormatting>
  <conditionalFormatting sqref="P81">
    <cfRule type="expression" dxfId="127" priority="32">
      <formula>P81=""</formula>
    </cfRule>
    <cfRule type="expression" dxfId="126" priority="31" stopIfTrue="1">
      <formula>P81&lt;&gt;""</formula>
    </cfRule>
  </conditionalFormatting>
  <conditionalFormatting sqref="Q76">
    <cfRule type="expression" dxfId="125" priority="158">
      <formula>O76=""</formula>
    </cfRule>
    <cfRule type="expression" dxfId="124" priority="157" stopIfTrue="1">
      <formula>O76&lt;&gt;""</formula>
    </cfRule>
  </conditionalFormatting>
  <conditionalFormatting sqref="Q81">
    <cfRule type="expression" dxfId="123" priority="85" stopIfTrue="1">
      <formula>P81&lt;&gt;""</formula>
    </cfRule>
    <cfRule type="expression" dxfId="122" priority="86">
      <formula>P81=""</formula>
    </cfRule>
  </conditionalFormatting>
  <conditionalFormatting sqref="R76">
    <cfRule type="expression" dxfId="121" priority="155" stopIfTrue="1">
      <formula>O76&lt;&gt;""</formula>
    </cfRule>
    <cfRule type="expression" dxfId="120" priority="156">
      <formula>O76=""</formula>
    </cfRule>
  </conditionalFormatting>
  <conditionalFormatting sqref="R81">
    <cfRule type="expression" dxfId="119" priority="84">
      <formula>P81=""</formula>
    </cfRule>
    <cfRule type="expression" dxfId="118" priority="83" stopIfTrue="1">
      <formula>P81&lt;&gt;""</formula>
    </cfRule>
  </conditionalFormatting>
  <conditionalFormatting sqref="S76">
    <cfRule type="expression" dxfId="117" priority="12">
      <formula>S76=""</formula>
    </cfRule>
    <cfRule type="expression" dxfId="116" priority="11" stopIfTrue="1">
      <formula>S76&lt;&gt;""</formula>
    </cfRule>
  </conditionalFormatting>
  <conditionalFormatting sqref="S81">
    <cfRule type="expression" dxfId="115" priority="29" stopIfTrue="1">
      <formula>S81&lt;&gt;""</formula>
    </cfRule>
    <cfRule type="expression" dxfId="114" priority="30">
      <formula>S81=""</formula>
    </cfRule>
  </conditionalFormatting>
  <conditionalFormatting sqref="T76">
    <cfRule type="expression" dxfId="113" priority="152">
      <formula>S76=""</formula>
    </cfRule>
    <cfRule type="expression" dxfId="112" priority="151" stopIfTrue="1">
      <formula>S76&lt;&gt;""</formula>
    </cfRule>
  </conditionalFormatting>
  <conditionalFormatting sqref="T81">
    <cfRule type="expression" dxfId="111" priority="80">
      <formula>S81=""</formula>
    </cfRule>
    <cfRule type="expression" dxfId="110" priority="79" stopIfTrue="1">
      <formula>S81&lt;&gt;""</formula>
    </cfRule>
  </conditionalFormatting>
  <conditionalFormatting sqref="U76">
    <cfRule type="expression" dxfId="109" priority="150">
      <formula>S76=""</formula>
    </cfRule>
    <cfRule type="expression" dxfId="108" priority="149" stopIfTrue="1">
      <formula>S76&lt;&gt;""</formula>
    </cfRule>
  </conditionalFormatting>
  <conditionalFormatting sqref="U81">
    <cfRule type="expression" dxfId="107" priority="77" stopIfTrue="1">
      <formula>S81&lt;&gt;""</formula>
    </cfRule>
    <cfRule type="expression" dxfId="106" priority="78">
      <formula>S81=""</formula>
    </cfRule>
  </conditionalFormatting>
  <conditionalFormatting sqref="V76">
    <cfRule type="expression" dxfId="105" priority="147" stopIfTrue="1">
      <formula>S76&lt;&gt;""</formula>
    </cfRule>
    <cfRule type="expression" dxfId="104" priority="148">
      <formula>S76=""</formula>
    </cfRule>
  </conditionalFormatting>
  <conditionalFormatting sqref="V81">
    <cfRule type="expression" dxfId="103" priority="27" stopIfTrue="1">
      <formula>V81&lt;&gt;""</formula>
    </cfRule>
    <cfRule type="expression" dxfId="102" priority="28">
      <formula>V81=""</formula>
    </cfRule>
  </conditionalFormatting>
  <conditionalFormatting sqref="W76">
    <cfRule type="expression" dxfId="101" priority="10">
      <formula>W76=""</formula>
    </cfRule>
    <cfRule type="expression" dxfId="100" priority="9" stopIfTrue="1">
      <formula>W76&lt;&gt;""</formula>
    </cfRule>
  </conditionalFormatting>
  <conditionalFormatting sqref="W81">
    <cfRule type="expression" dxfId="99" priority="73" stopIfTrue="1">
      <formula>V81&lt;&gt;""</formula>
    </cfRule>
    <cfRule type="expression" dxfId="98" priority="74">
      <formula>V81=""</formula>
    </cfRule>
  </conditionalFormatting>
  <conditionalFormatting sqref="X76">
    <cfRule type="expression" dxfId="97" priority="144">
      <formula>W76=""</formula>
    </cfRule>
    <cfRule type="expression" dxfId="96" priority="143" stopIfTrue="1">
      <formula>W76&lt;&gt;""</formula>
    </cfRule>
  </conditionalFormatting>
  <conditionalFormatting sqref="X81">
    <cfRule type="expression" dxfId="95" priority="72">
      <formula>V81=""</formula>
    </cfRule>
    <cfRule type="expression" dxfId="94" priority="71" stopIfTrue="1">
      <formula>V81&lt;&gt;""</formula>
    </cfRule>
  </conditionalFormatting>
  <conditionalFormatting sqref="Y76">
    <cfRule type="expression" dxfId="93" priority="141" stopIfTrue="1">
      <formula>W76&lt;&gt;""</formula>
    </cfRule>
    <cfRule type="expression" dxfId="92" priority="142">
      <formula>W76=""</formula>
    </cfRule>
  </conditionalFormatting>
  <conditionalFormatting sqref="Y81">
    <cfRule type="expression" dxfId="91" priority="26">
      <formula>Y81=""</formula>
    </cfRule>
    <cfRule type="expression" dxfId="90" priority="25" stopIfTrue="1">
      <formula>Y81&lt;&gt;""</formula>
    </cfRule>
  </conditionalFormatting>
  <conditionalFormatting sqref="Z76">
    <cfRule type="expression" dxfId="89" priority="139" stopIfTrue="1">
      <formula>W76&lt;&gt;""</formula>
    </cfRule>
    <cfRule type="expression" dxfId="88" priority="140">
      <formula>W76=""</formula>
    </cfRule>
  </conditionalFormatting>
  <conditionalFormatting sqref="Z81">
    <cfRule type="expression" dxfId="87" priority="68">
      <formula>Y81=""</formula>
    </cfRule>
    <cfRule type="expression" dxfId="86" priority="67" stopIfTrue="1">
      <formula>Y81&lt;&gt;""</formula>
    </cfRule>
  </conditionalFormatting>
  <conditionalFormatting sqref="AA76">
    <cfRule type="expression" dxfId="85" priority="7" stopIfTrue="1">
      <formula>AA76&lt;&gt;""</formula>
    </cfRule>
    <cfRule type="expression" dxfId="84" priority="8">
      <formula>AA76=""</formula>
    </cfRule>
  </conditionalFormatting>
  <conditionalFormatting sqref="AA81">
    <cfRule type="expression" dxfId="83" priority="65" stopIfTrue="1">
      <formula>Y81&lt;&gt;""</formula>
    </cfRule>
    <cfRule type="expression" dxfId="82" priority="66">
      <formula>Y81=""</formula>
    </cfRule>
  </conditionalFormatting>
  <conditionalFormatting sqref="AB19 AB21 AB23 AB25 AB27 AB29 AB31 AB33 AB35 AB37 AB39 AB41 AB43 AB45 AB47 AB49 AB51 AB53 AB55 AB57 AB59 AB61 AB63 AB65 AB67 AB69">
    <cfRule type="expression" dxfId="81" priority="182">
      <formula>AND(LEFT(F19,4)="Acro",AB19=AC19)</formula>
    </cfRule>
    <cfRule type="expression" dxfId="80" priority="188">
      <formula>AND(OR(BW19=AB$18,BX19=AB$18),E20="H",LEFT(BZ19,4)&lt;&gt;"SY-P")</formula>
    </cfRule>
  </conditionalFormatting>
  <conditionalFormatting sqref="AB19:AB69">
    <cfRule type="expression" dxfId="79" priority="190">
      <formula>AND(LEFT(AB19,2)="PL",BU19="X")</formula>
    </cfRule>
  </conditionalFormatting>
  <conditionalFormatting sqref="AB76">
    <cfRule type="expression" dxfId="78" priority="135" stopIfTrue="1">
      <formula>AA76&lt;&gt;""</formula>
    </cfRule>
    <cfRule type="expression" dxfId="77" priority="136">
      <formula>AA76=""</formula>
    </cfRule>
  </conditionalFormatting>
  <conditionalFormatting sqref="AB81">
    <cfRule type="expression" dxfId="76" priority="23" stopIfTrue="1">
      <formula>AB81&lt;&gt;""</formula>
    </cfRule>
    <cfRule type="expression" dxfId="75" priority="24">
      <formula>AB81=""</formula>
    </cfRule>
  </conditionalFormatting>
  <conditionalFormatting sqref="AC19 AC21 AC23 AC25 AC27 AC29 AC31 AC33 AC35 AC37 AC39 AC41 AC43 AC45 AC47 AC49 AC51 AC53 AC55 AC57 AC59 AC61 AC63 AC65 AC67 AC69">
    <cfRule type="expression" dxfId="74" priority="181">
      <formula>AND(LEFT(F19,4)="Acro",AB19=AC19)</formula>
    </cfRule>
    <cfRule type="expression" dxfId="73" priority="187">
      <formula>IF(BZ19&lt;&gt;"SY-P",OR(BW19=AC$18,BX19=AC$18))</formula>
    </cfRule>
  </conditionalFormatting>
  <conditionalFormatting sqref="AC76">
    <cfRule type="expression" dxfId="72" priority="133" stopIfTrue="1">
      <formula>AA76&lt;&gt;""</formula>
    </cfRule>
    <cfRule type="expression" dxfId="71" priority="134">
      <formula>AA76=""</formula>
    </cfRule>
  </conditionalFormatting>
  <conditionalFormatting sqref="AC81">
    <cfRule type="expression" dxfId="70" priority="62">
      <formula>AB81=""</formula>
    </cfRule>
    <cfRule type="expression" dxfId="69" priority="61" stopIfTrue="1">
      <formula>AB81&lt;&gt;""</formula>
    </cfRule>
  </conditionalFormatting>
  <conditionalFormatting sqref="AC19:AF69">
    <cfRule type="expression" dxfId="68" priority="1348">
      <formula>AND(LEFT(AC19,2)="PL",BW19="X")</formula>
    </cfRule>
  </conditionalFormatting>
  <conditionalFormatting sqref="AD19 AD21 AD23 AD25 AD27 AD29 AD31 AD33 AD35 AD37 AD39 AD41 AD43 AD45 AD47 AD49 AD51 AD53 AD55 AD57 AD59 AD61 AD63 AD65 AD67 AD69">
    <cfRule type="expression" dxfId="67" priority="186">
      <formula>IF(CA19&lt;&gt;"SY-P",OR(BW19=AD$18,BX19=AD$18))</formula>
    </cfRule>
  </conditionalFormatting>
  <conditionalFormatting sqref="AD76">
    <cfRule type="expression" dxfId="66" priority="131" stopIfTrue="1">
      <formula>AA76&lt;&gt;""</formula>
    </cfRule>
    <cfRule type="expression" dxfId="65" priority="132">
      <formula>AA76=""</formula>
    </cfRule>
  </conditionalFormatting>
  <conditionalFormatting sqref="AD81">
    <cfRule type="expression" dxfId="64" priority="59" stopIfTrue="1">
      <formula>AB81&lt;&gt;""</formula>
    </cfRule>
    <cfRule type="expression" dxfId="63" priority="60">
      <formula>AB81=""</formula>
    </cfRule>
  </conditionalFormatting>
  <conditionalFormatting sqref="AD19:AF19 AD21:AF21 AD23:AF23 AD25:AF25 AD27:AF27 AD29:AF29 AD31:AF31 AD33:AF33 AD35:AF35 AD37:AF37 AD39:AF39 AD41:AF41 AD43:AF43 AD45:AF45 AD47:AF47 AD49:AF49 AD51:AF51 AD53:AF53 AD55:AF55 AD57:AF57 AD59:AF59 AD61:AF61 AD63:AF63 AD65:AF65 AD67:AF67 AD69:AF69">
    <cfRule type="expression" dxfId="62" priority="221">
      <formula>AND(LEFT($F19,10)="Acrobatic ",$F21="")</formula>
    </cfRule>
  </conditionalFormatting>
  <conditionalFormatting sqref="AE19 AE21 AE23 AE25 AE27 AE29 AE31 AE33 AE35 AE37 AE39 AE41 AE43 AE45 AE47 AE49 AE51 AE53 AE55 AE57 AE59 AE61 AE63 AE65 AE67 AE69">
    <cfRule type="expression" dxfId="61" priority="185">
      <formula>IF(CB19&lt;&gt;"SY-P",OR(BW19=AE$18,BX19=AE$18))</formula>
    </cfRule>
  </conditionalFormatting>
  <conditionalFormatting sqref="AE76">
    <cfRule type="expression" dxfId="60" priority="6">
      <formula>AE76=""</formula>
    </cfRule>
    <cfRule type="expression" dxfId="59" priority="5" stopIfTrue="1">
      <formula>AE76&lt;&gt;""</formula>
    </cfRule>
  </conditionalFormatting>
  <conditionalFormatting sqref="AE81">
    <cfRule type="expression" dxfId="58" priority="22">
      <formula>AE81=""</formula>
    </cfRule>
    <cfRule type="expression" dxfId="57" priority="21" stopIfTrue="1">
      <formula>AE81&lt;&gt;""</formula>
    </cfRule>
  </conditionalFormatting>
  <conditionalFormatting sqref="AF19 AF21 AF23 AF25 AF27 AF29 AF31 AF33 AF35 AF37 AF39 AF41 AF43 AF45 AF47 AF49 AF51 AF53 AF55 AF57 AF59 AF61 AF63 AF65 AF67 AF69">
    <cfRule type="expression" dxfId="56" priority="184">
      <formula>OR(BW19=AF$18,BX19=AF$18)</formula>
    </cfRule>
  </conditionalFormatting>
  <conditionalFormatting sqref="AF76">
    <cfRule type="expression" dxfId="55" priority="127" stopIfTrue="1">
      <formula>AE76&lt;&gt;""</formula>
    </cfRule>
    <cfRule type="expression" dxfId="54" priority="128">
      <formula>AE76=""</formula>
    </cfRule>
  </conditionalFormatting>
  <conditionalFormatting sqref="AF81">
    <cfRule type="expression" dxfId="53" priority="56">
      <formula>AE81=""</formula>
    </cfRule>
    <cfRule type="expression" dxfId="52" priority="55" stopIfTrue="1">
      <formula>AE81&lt;&gt;""</formula>
    </cfRule>
  </conditionalFormatting>
  <conditionalFormatting sqref="AG20 AG22:AH22 AG24:AH24 AG26:AH26 AG28:AH28 AG30:AH30 AG32:AH32 AG34:AH34 AG36:AH36 AG38:AH38 AG40:AH40 AG42:AH42 AG44:AH44 AG46:AH46 AG48:AH48 AG50:AH50 AG52:AH52 AG54:AH54 AG56:AH56 AG58:AH58 AG60:AH60 AG62:AH62 AG64:AH64 AG66:AH66 AG68:AH68">
    <cfRule type="expression" dxfId="51" priority="1346">
      <formula>AR20="X"</formula>
    </cfRule>
  </conditionalFormatting>
  <conditionalFormatting sqref="AG76">
    <cfRule type="expression" dxfId="50" priority="125" stopIfTrue="1">
      <formula>AE76&lt;&gt;""</formula>
    </cfRule>
    <cfRule type="expression" dxfId="49" priority="126">
      <formula>AE76=""</formula>
    </cfRule>
  </conditionalFormatting>
  <conditionalFormatting sqref="AG81">
    <cfRule type="expression" dxfId="48" priority="53" stopIfTrue="1">
      <formula>AE81&lt;&gt;""</formula>
    </cfRule>
    <cfRule type="expression" dxfId="47" priority="54">
      <formula>AE81=""</formula>
    </cfRule>
  </conditionalFormatting>
  <conditionalFormatting sqref="AH76">
    <cfRule type="expression" dxfId="46" priority="124">
      <formula>AE76=""</formula>
    </cfRule>
    <cfRule type="expression" dxfId="45" priority="123" stopIfTrue="1">
      <formula>AE76&lt;&gt;""</formula>
    </cfRule>
  </conditionalFormatting>
  <conditionalFormatting sqref="AH81">
    <cfRule type="expression" dxfId="44" priority="20">
      <formula>AH81=""</formula>
    </cfRule>
    <cfRule type="expression" dxfId="43" priority="19" stopIfTrue="1">
      <formula>AH81&lt;&gt;""</formula>
    </cfRule>
  </conditionalFormatting>
  <conditionalFormatting sqref="AH1:AP16 AH17 AJ17:AP17 AG18:AQ68 G19:G72">
    <cfRule type="cellIs" dxfId="42" priority="253" operator="equal">
      <formula>0</formula>
    </cfRule>
  </conditionalFormatting>
  <conditionalFormatting sqref="AI22 AI24 AI26 AI28 AI30 AI32 AI34 AI36 AI38 AI40 AI42 AI44 AI46 AI48 AI50 AI52 AI54 AI56 AI58 AI60 AI62 AI64 AI66 AI68">
    <cfRule type="expression" dxfId="41" priority="1318">
      <formula>AS22="X"</formula>
    </cfRule>
  </conditionalFormatting>
  <conditionalFormatting sqref="AI76">
    <cfRule type="expression" dxfId="40" priority="4">
      <formula>AI76=""</formula>
    </cfRule>
    <cfRule type="expression" dxfId="39" priority="3" stopIfTrue="1">
      <formula>AI76&lt;&gt;""</formula>
    </cfRule>
  </conditionalFormatting>
  <conditionalFormatting sqref="AI81">
    <cfRule type="expression" dxfId="38" priority="50">
      <formula>AH81=""</formula>
    </cfRule>
    <cfRule type="expression" dxfId="37" priority="49" stopIfTrue="1">
      <formula>AH81&lt;&gt;""</formula>
    </cfRule>
  </conditionalFormatting>
  <conditionalFormatting sqref="AJ22 AJ24 AJ26 AJ28 AJ30 AJ32 AJ34 AJ36 AJ38 AJ40 AJ42 AJ44 AJ46 AJ48 AJ50 AJ52 AJ54 AJ56 AJ58 AJ60 AJ62 AJ64 AJ66 AJ68">
    <cfRule type="expression" dxfId="36" priority="1290">
      <formula>AS22="X"</formula>
    </cfRule>
  </conditionalFormatting>
  <conditionalFormatting sqref="AJ76">
    <cfRule type="expression" dxfId="35" priority="120">
      <formula>AI76=""</formula>
    </cfRule>
    <cfRule type="expression" dxfId="34" priority="119" stopIfTrue="1">
      <formula>AI76&lt;&gt;""</formula>
    </cfRule>
  </conditionalFormatting>
  <conditionalFormatting sqref="AJ81">
    <cfRule type="expression" dxfId="33" priority="48">
      <formula>AH81=""</formula>
    </cfRule>
    <cfRule type="expression" dxfId="32" priority="47" stopIfTrue="1">
      <formula>AH81&lt;&gt;""</formula>
    </cfRule>
  </conditionalFormatting>
  <conditionalFormatting sqref="AK22 AK24 AK26 AK28 AK30 AK32 AK34 AK36 AK38 AK40 AK42 AK44 AK46 AK48 AK50 AK52 AK54 AK56 AK58 AK60 AK62 AK64 AK66 AK68">
    <cfRule type="expression" dxfId="31" priority="1262">
      <formula>AS22="X"</formula>
    </cfRule>
  </conditionalFormatting>
  <conditionalFormatting sqref="AK76">
    <cfRule type="expression" dxfId="30" priority="118">
      <formula>AI76=""</formula>
    </cfRule>
    <cfRule type="expression" dxfId="29" priority="117" stopIfTrue="1">
      <formula>AI76&lt;&gt;""</formula>
    </cfRule>
  </conditionalFormatting>
  <conditionalFormatting sqref="AK81">
    <cfRule type="expression" dxfId="28" priority="17" stopIfTrue="1">
      <formula>AK81&lt;&gt;""</formula>
    </cfRule>
    <cfRule type="expression" dxfId="27" priority="18">
      <formula>AK81=""</formula>
    </cfRule>
  </conditionalFormatting>
  <conditionalFormatting sqref="AL22 AL24 AL26 AL28 AL30 AL32 AL34 AL36 AL38 AL40 AL42 AL44 AL46 AL48 AL50 AL52 AL54 AL56 AL58 AL60 AL62 AL64 AL66 AL68">
    <cfRule type="expression" dxfId="26" priority="1234">
      <formula>AS22="X"</formula>
    </cfRule>
  </conditionalFormatting>
  <conditionalFormatting sqref="AL76">
    <cfRule type="expression" dxfId="25" priority="115" stopIfTrue="1">
      <formula>AI76&lt;&gt;""</formula>
    </cfRule>
    <cfRule type="expression" dxfId="24" priority="116">
      <formula>AI76=""</formula>
    </cfRule>
  </conditionalFormatting>
  <conditionalFormatting sqref="AL81">
    <cfRule type="expression" dxfId="23" priority="44">
      <formula>AK81=""</formula>
    </cfRule>
    <cfRule type="expression" dxfId="22" priority="43" stopIfTrue="1">
      <formula>AK81&lt;&gt;""</formula>
    </cfRule>
  </conditionalFormatting>
  <conditionalFormatting sqref="AM22 AM24 AM26 AM28 AM30 AM32 AM34 AM36 AM38 AM40 AM42 AM44 AM46 AM48 AM50 AM52 AM54 AM56 AM58 AM60 AM62 AM64 AM66 AM68">
    <cfRule type="expression" dxfId="21" priority="1206">
      <formula>AS22="X"</formula>
    </cfRule>
  </conditionalFormatting>
  <conditionalFormatting sqref="AM76">
    <cfRule type="expression" dxfId="20" priority="2">
      <formula>AM76=""</formula>
    </cfRule>
    <cfRule type="expression" dxfId="19" priority="1" stopIfTrue="1">
      <formula>AM76&lt;&gt;""</formula>
    </cfRule>
  </conditionalFormatting>
  <conditionalFormatting sqref="AM81">
    <cfRule type="expression" dxfId="18" priority="41" stopIfTrue="1">
      <formula>AK81&lt;&gt;""</formula>
    </cfRule>
    <cfRule type="expression" dxfId="17" priority="42">
      <formula>AK81=""</formula>
    </cfRule>
  </conditionalFormatting>
  <conditionalFormatting sqref="AN22 AN24 AN26 AN28 AN30 AN32 AN34 AN36 AN38 AN40 AN42 AN44 AN46 AN48 AN50 AN52 AN54 AN56 AN58 AN60 AN62 AN64 AN66 AN68">
    <cfRule type="expression" dxfId="16" priority="1178">
      <formula>AS22="X"</formula>
    </cfRule>
  </conditionalFormatting>
  <conditionalFormatting sqref="AN76">
    <cfRule type="expression" dxfId="15" priority="111" stopIfTrue="1">
      <formula>AM76&lt;&gt;""</formula>
    </cfRule>
    <cfRule type="expression" dxfId="14" priority="112">
      <formula>AM76=""</formula>
    </cfRule>
  </conditionalFormatting>
  <conditionalFormatting sqref="AO22 AO24 AO26 AO28 AO30 AO32 AO34 AO36 AO38 AO40 AO42 AO44 AO46 AO48 AO50 AO52 AO54 AO56 AO58 AO60 AO62 AO64 AO66 AO68">
    <cfRule type="expression" dxfId="13" priority="1150">
      <formula>AS22="X"</formula>
    </cfRule>
  </conditionalFormatting>
  <conditionalFormatting sqref="AO76">
    <cfRule type="expression" dxfId="12" priority="109" stopIfTrue="1">
      <formula>AM76&lt;&gt;""</formula>
    </cfRule>
    <cfRule type="expression" dxfId="11" priority="110">
      <formula>AM76=""</formula>
    </cfRule>
  </conditionalFormatting>
  <conditionalFormatting sqref="AP22 AP24 AP26 AP28 AP30 AP32 AP34 AP36 AP38 AP40 AP42 AP44 AP46 AP48 AP50 AP52 AP54 AP56 AP58 AP60 AP62 AP64 AP66 AP68">
    <cfRule type="expression" dxfId="10" priority="1122">
      <formula>AS22="X"</formula>
    </cfRule>
  </conditionalFormatting>
  <conditionalFormatting sqref="AP76">
    <cfRule type="expression" dxfId="9" priority="108">
      <formula>AM76=""</formula>
    </cfRule>
    <cfRule type="expression" dxfId="8" priority="107" stopIfTrue="1">
      <formula>AM76&lt;&gt;""</formula>
    </cfRule>
  </conditionalFormatting>
  <conditionalFormatting sqref="AQ20 AQ22 AQ24 AQ26 AQ28 AQ30 AQ32 AQ34 AQ36 AQ38 AQ40 AQ42 AQ44 AQ46 AQ48 AQ50 AQ52 AQ54 AQ56 AQ58 AQ60 AQ62 AQ64 AQ66 AQ68">
    <cfRule type="expression" dxfId="7" priority="219">
      <formula>AS20="X"</formula>
    </cfRule>
  </conditionalFormatting>
  <conditionalFormatting sqref="AT14:AT15">
    <cfRule type="containsText" dxfId="6" priority="237" operator="containsText" text=" ">
      <formula>NOT(ISERROR(SEARCH(" ",AT14)))</formula>
    </cfRule>
    <cfRule type="containsText" dxfId="5" priority="238" operator="containsText" text="BONUSES">
      <formula>NOT(ISERROR(SEARCH("BONUSES",AT14)))</formula>
    </cfRule>
    <cfRule type="containsText" dxfId="4" priority="239" operator="containsText" text="TRANSITION">
      <formula>NOT(ISERROR(SEARCH("TRANSITION",AT14)))</formula>
    </cfRule>
    <cfRule type="containsText" dxfId="3" priority="241" operator="containsText" text="HYBRID">
      <formula>NOT(ISERROR(SEARCH("HYBRID",AT14)))</formula>
    </cfRule>
    <cfRule type="containsText" dxfId="2" priority="240" operator="containsText" text="ACROBATIC">
      <formula>NOT(ISERROR(SEARCH("ACROBATIC",AT14)))</formula>
    </cfRule>
  </conditionalFormatting>
  <dataValidations count="4">
    <dataValidation type="list" allowBlank="1" showInputMessage="1" showErrorMessage="1" sqref="C19 C21 C69 C23 C25 C27 C29 C31 C33 C35 C37 C39 C41 C43 C45 C47 C49 C51 C53 C55 C57 C59 C61 C63 C65 C67">
      <formula1>"00,01,02,03"</formula1>
    </dataValidation>
    <dataValidation type="list" allowBlank="1" showInputMessage="1" showErrorMessage="1" sqref="D19 D21 D69 D23 D25 D27 D29 D31 D33 D35 D37 D39 D41 D43 D45 D47 D49 D51 D53 D55 D57 D59 D61 D63 D65 D67">
      <formula1>"00,01,02,03,04,05,06,07,08,09,10,11,12,13,14,15,16,17,18,19,20,21,22,23,24,25,26,27,28,29,30,31,32,33,34,35,36,37,38,39,40,41,42,43,44,45,46,47,48,49,50,51,52,53,54,55,56,57,58,59"</formula1>
    </dataValidation>
    <dataValidation type="list" allowBlank="1" showInputMessage="1" showErrorMessage="1" sqref="L7:L8">
      <formula1>"Y,N,y,n"</formula1>
    </dataValidation>
    <dataValidation type="list" allowBlank="1" showInputMessage="1" showErrorMessage="1" sqref="A5:D5">
      <formula1>"Federation:,Club:"</formula1>
    </dataValidation>
  </dataValidations>
  <printOptions horizontalCentered="1" verticalCentered="1"/>
  <pageMargins left="0.25" right="0.25" top="0.75" bottom="0.75" header="0.3" footer="0.3"/>
  <pageSetup scale="55" orientation="landscape" horizontalDpi="4294967293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" id="{738B32AF-74F7-400B-88A7-B74A2C056FA2}">
            <xm:f>AND(NOT(ISERROR(VLOOKUP(J19,Data!$AD$4:$AD$14,1,FALSE))),E20=3)</xm:f>
            <x14:dxf>
              <fill>
                <patternFill>
                  <bgColor rgb="FFFFA3A3"/>
                </patternFill>
              </fill>
            </x14:dxf>
          </x14:cfRule>
          <xm:sqref>J19 J21 J23 J25 J27 J29 J31 J33 J35 J37 J39 J41 J43 J45 J47 J49 J51 J53 J55 J57 J59 J61 J63 J65 J67</xm:sqref>
        </x14:conditionalFormatting>
        <x14:conditionalFormatting xmlns:xm="http://schemas.microsoft.com/office/excel/2006/main">
          <x14:cfRule type="expression" priority="38" id="{68B56350-2992-4C52-83C7-3D5A2ED823B1}">
            <xm:f>NOT(ISERROR(VLOOKUP(J23,Data!$AD$4:$AD$28,1,FALSE)))</xm:f>
            <x14:dxf>
              <fill>
                <patternFill>
                  <bgColor rgb="FFFF0000"/>
                </patternFill>
              </fill>
            </x14:dxf>
          </x14:cfRule>
          <xm:sqref>J23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6">
        <x14:dataValidation type="list" allowBlank="1" showInputMessage="1" showErrorMessage="1">
          <x14:formula1>
            <xm:f>IF($AS$7=1,Data!$A$17:$A$22,IF($AS$7=2,Data!$A$25:$A$35,Data!$A$3:$A$14))</xm:f>
          </x14:formula1>
          <xm:sqref>F8</xm:sqref>
        </x14:dataValidation>
        <x14:dataValidation type="list" allowBlank="1" showInputMessage="1" showErrorMessage="1">
          <x14:formula1>
            <xm:f>Data!$E$3:$E$10</xm:f>
          </x14:formula1>
          <xm:sqref>F19 F69 F21 F23 F25 F27 F29 F31 F33 F35 F37 F39 F41 F43 F45 F47 F49 F51 F53 F55 F57 F59 F61 F63 F65 F67</xm:sqref>
        </x14:dataValidation>
        <x14:dataValidation type="list" allowBlank="1" showInputMessage="1" showErrorMessage="1">
          <x14:formula1>
            <xm:f>IF(E20="H",HybridDD,IF(E20=3,Data!$BI$1:$BI$5,IF(E20="A",AcroADD2,IF(E20="B",AcroBDD2,IF(E20="C",AcroCDD2,IF(E20="P",AcroPDD2,Data!$BI$1:$BI$5))))))</xm:f>
          </x14:formula1>
          <xm:sqref>K19 K69 K21 K23 K25 K27 K29 K31 K33 K35 K37 K39 K41 K43 K45 K47 K49 K51 K53 K55 K57 K59 K61 K63 K65 K67</xm:sqref>
        </x14:dataValidation>
        <x14:dataValidation type="list" allowBlank="1" showInputMessage="1" showErrorMessage="1">
          <x14:formula1>
            <xm:f>IF(E20="H",HybridDD,IF(E20=3,Data!$BI$1:$BI$5,IF(E20="A",AcroADD3,IF(E20="B",AcroBDD3,IF(E20="C",AcroCDD3,IF(E20="P",AcroPDD3,Data!$BI$1:$BI$5))))))</xm:f>
          </x14:formula1>
          <xm:sqref>L19 L69 L21 L23 L25 L27 L29 L31 L33 L35 L37 L39 L41 L43 L45 L47 L49 L51 L53 L55 L57 L59 L61 L63 L65 L67</xm:sqref>
        </x14:dataValidation>
        <x14:dataValidation type="list" allowBlank="1" showInputMessage="1" showErrorMessage="1">
          <x14:formula1>
            <xm:f>IF(E20="H",HybridDD,IF(E20=3,Data!$BI$1:$BI$5,IF(E20="A",AcroADD4p1,IF(E20="B",AcroBDD4p1,IF(E20="C",AcroCDD4p1,IF(E20="P",AcroPDD4p1,Data!$BI$1:$BI$5))))))</xm:f>
          </x14:formula1>
          <xm:sqref>M19 M69 M21 M23 M25 M27 M29 M31 M33 M35 M37 M39 M41 M43 M45 M47 M49 M51 M53 M55 M57 M59 M61 M63 M65 M67</xm:sqref>
        </x14:dataValidation>
        <x14:dataValidation type="list" allowBlank="1" showInputMessage="1" showErrorMessage="1">
          <x14:formula1>
            <xm:f>IF(E20="H",HybridDD,Data!$BI$1:$BI$5)</xm:f>
          </x14:formula1>
          <xm:sqref>Q19 Q21 Q23 Q25 Q27 Q29 Q31 Q33 Q35 Q37 Q39 Q41 Q43 Q45 Q47 Q49 Q51 Q53 Q55 Q57 Q59 Q61 Q63 Q65 Q67 Q69</xm:sqref>
        </x14:dataValidation>
        <x14:dataValidation type="list" allowBlank="1" showInputMessage="1" showErrorMessage="1">
          <x14:formula1>
            <xm:f>IF(E20="H",HybridDD,Data!$BI$1:$BI$5)</xm:f>
          </x14:formula1>
          <xm:sqref>R19 R21 R23 R25 R27 R29 R31 R33 R35 R37 R39 R41 R43 R45 R47 R49 R51 R53 R55 R57 R59 R61 R63 R65 R67 R69</xm:sqref>
        </x14:dataValidation>
        <x14:dataValidation type="list" allowBlank="1" showInputMessage="1" showErrorMessage="1">
          <x14:formula1>
            <xm:f>IF(E20="H",HybridDD,Data!$BI$1:$BI$5)</xm:f>
          </x14:formula1>
          <xm:sqref>AA19 AA21 AA23 AA25 AA27 AA29 AA31 AA33 AA35 AA37 AA39 AA41 AA43 AA45 AA47 AA49 AA51 AA53 AA55 AA57 AA59 AA61 AA63 AA65 AA67 AA69</xm:sqref>
        </x14:dataValidation>
        <x14:dataValidation type="list" allowBlank="1" showInputMessage="1" showErrorMessage="1">
          <x14:formula1>
            <xm:f>IF(E20="H",HybridDD,Data!$BI$1:$BI$5)</xm:f>
          </x14:formula1>
          <xm:sqref>Z19 Z21 Z23 Z25 Z27 Z29 Z31 Z33 Z35 Z37 Z39 Z41 Z43 Z45 Z47 Z49 Z51 Z53 Z55 Z57 Z59 Z61 Z63 Z65 Z67 Z69</xm:sqref>
        </x14:dataValidation>
        <x14:dataValidation type="list" allowBlank="1" showInputMessage="1" showErrorMessage="1">
          <x14:formula1>
            <xm:f>IF(E20="H",HybridDD,Data!$BI$1:$BI$5)</xm:f>
          </x14:formula1>
          <xm:sqref>Y19 Y21 Y23 Y25 Y27 Y29 Y31 Y33 Y35 Y37 Y39 Y41 Y43 Y45 Y47 Y49 Y51 Y53 Y55 Y57 Y59 Y61 Y63 Y65 Y67 Y69</xm:sqref>
        </x14:dataValidation>
        <x14:dataValidation type="list" allowBlank="1" showInputMessage="1" showErrorMessage="1">
          <x14:formula1>
            <xm:f>IF(E20="H",HybridDD,Data!$BI$1:$BI$5)</xm:f>
          </x14:formula1>
          <xm:sqref>X19 X21 X23 X25 X27 X29 X31 X33 X35 X37 X39 X41 X43 X45 X47 X49 X51 X53 X55 X57 X59 X61 X63 X65 X67 X69</xm:sqref>
        </x14:dataValidation>
        <x14:dataValidation type="list" allowBlank="1" showInputMessage="1" showErrorMessage="1">
          <x14:formula1>
            <xm:f>IF(E20="H",HybridDD,Data!$BI$1:$BI$5)</xm:f>
          </x14:formula1>
          <xm:sqref>W19 W21 W23 W25 W27 W29 W31 W33 W35 W37 W39 W41 W43 W45 W47 W49 W51 W53 W55 W57 W59 W61 W63 W65 W67 W69</xm:sqref>
        </x14:dataValidation>
        <x14:dataValidation type="list" allowBlank="1" showInputMessage="1" showErrorMessage="1">
          <x14:formula1>
            <xm:f>IF(E20="H",HybridDD,Data!$BI$1:$BI$5)</xm:f>
          </x14:formula1>
          <xm:sqref>T19 T21 T23 T25 T27 T29 T31 T33 T35 T37 T39 T41 T43 T45 T47 T49 T51 T53 T55 T57 T59 T61 T63 T65 T67 T69</xm:sqref>
        </x14:dataValidation>
        <x14:dataValidation type="list" allowBlank="1" showInputMessage="1" showErrorMessage="1">
          <x14:formula1>
            <xm:f>IF(E20="H",HybridDD,Data!$BI$1:$BI$5)</xm:f>
          </x14:formula1>
          <xm:sqref>U19 U21 U23 U25 U27 U29 U31 U33 U35 U37 U39 U41 U43 U45 U47 U49 U51 U53 U55 U57 U59 U61 U63 U65 U67 U69</xm:sqref>
        </x14:dataValidation>
        <x14:dataValidation type="list" allowBlank="1" showInputMessage="1" showErrorMessage="1">
          <x14:formula1>
            <xm:f>IF(E20="H",HybridDD,Data!$BI$1:$BI$5)</xm:f>
          </x14:formula1>
          <xm:sqref>S19 S21 S23 S25 S27 S29 S31 S33 S35 S37 S39 S41 S43 S45 S47 S49 S51 S53 S55 S57 S59 S61 S63 S65 S67 S69</xm:sqref>
        </x14:dataValidation>
        <x14:dataValidation type="list" allowBlank="1" showInputMessage="1" showErrorMessage="1">
          <x14:formula1>
            <xm:f>IF(E20="H",HybridDD,Data!$BI$1:$BI$5)</xm:f>
          </x14:formula1>
          <xm:sqref>V19 V21 V23 V25 V27 V29 V31 V33 V35 V37 V39 V41 V43 V45 V47 V49 V51 V53 V55 V57 V59 V61 V63 V65 V67 V69</xm:sqref>
        </x14:dataValidation>
        <x14:dataValidation type="list" allowBlank="1" showInputMessage="1" showErrorMessage="1">
          <x14:formula1>
            <xm:f>IF(E20="H",BonusDD,IF(E20="A",AcroABonus,IF(E20="B",AcroBBonus,IF(E20="C",AcroCBonus,IF(E20="P",AcroPBonus,Data!$BI$1:$BI$5)))))</xm:f>
          </x14:formula1>
          <xm:sqref>AB19 AB21 AB23 AB25 AB27 AB29 AB31 AB33 AB35 AB37 AB39 AB41 AB43 AB45 AB47 AB49 AB51 AB53 AB55 AB57 AB59 AB61 AB63 AB65 AB67 AB69</xm:sqref>
        </x14:dataValidation>
        <x14:dataValidation type="list" allowBlank="1" showInputMessage="1" showErrorMessage="1">
          <x14:formula1>
            <xm:f>IF(E20="H",HybridDD,IF(E20=3,Data!$BI$1:$BI$5,IF(E20="A",AcroADD4p2,IF(E20="B",AcroBDD4p2,IF(E20="C",AcroCDD4p2,IF(E20="P",AcroPDD4p2,Data!$BI$1:$BI$5))))))</xm:f>
          </x14:formula1>
          <xm:sqref>N19 N69 N21 N23 N25 N27 N29 N31 N33 N35 N37 N39 N41 N43 N45 N47 N49 N51 N53 N55 N57 N59 N61 N63 N65 N67</xm:sqref>
        </x14:dataValidation>
        <x14:dataValidation type="list" allowBlank="1" showInputMessage="1" showErrorMessage="1">
          <x14:formula1>
            <xm:f>IF(E20="H",HybridDD,IF(E20=3,Data!$BI$1:$BI$5,IF(E20="A",AcroADD5,IF(E20="B",AcroBDD5,IF(E20="C",AcroCDD5,IF(E20="P",AcroPDD5,Data!$BI$1:$BI$5))))))</xm:f>
          </x14:formula1>
          <xm:sqref>O19 O69 O21 O23 O25 O27 O29 O31 O33 O35 O37 O39 O41 O43 O45 O47 O49 O51 O53 O55 O57 O59 O61 O63 O65 O67</xm:sqref>
        </x14:dataValidation>
        <x14:dataValidation type="list" allowBlank="1" showInputMessage="1" showErrorMessage="1">
          <x14:formula1>
            <xm:f>IF(E20="H",HybridDD,IF(E20=3,Data!$BI$1:$BI$5,IF(E20="A",Data!$BI$1:$BI$5,IF(E20="B",Data!$BI$1:$BI$5,IF(E20="C",AcroCDD6,IF(E20="P",Data!$BI$1:$BI$5,Data!$BI$1:$BI$5))))))</xm:f>
          </x14:formula1>
          <xm:sqref>P19 P69 P21 P23 P25 P27 P29 P31 P33 P35 P37 P39 P41 P43 P45 P47 P49 P51 P53 P55 P57 P59 P61 P63 P65 P67</xm:sqref>
        </x14:dataValidation>
        <x14:dataValidation type="list" allowBlank="1" showInputMessage="1" showErrorMessage="1">
          <x14:formula1>
            <xm:f>IF(E20="H",HybridDD,IF(E20=3,TreDD,IF(E20="A",AcroADD1,IF(E20="B",AcroBDD1,IF(E20="C",AcroCDD1,IF(E20="P",AcroPDD1,IF(E20="PA",AcroPairDD,Data!$BI$1:$BI$5)))))))</xm:f>
          </x14:formula1>
          <xm:sqref>J19 J69 J21 J23 J25 J27 J29 J31 J33 J35 J37 J39 J41 J43 J45 J47 J49 J51 J53 J55 J57 J59 J61 J63 J65 J67</xm:sqref>
        </x14:dataValidation>
        <x14:dataValidation type="list" allowBlank="1" showInputMessage="1">
          <x14:formula1>
            <xm:f>IF($A$5="Federation:",Data!$CE$1:$CE$209,Data!$CG$1:$CG$2)</xm:f>
          </x14:formula1>
          <xm:sqref>F5</xm:sqref>
        </x14:dataValidation>
        <x14:dataValidation type="list" allowBlank="1" showInputMessage="1" showErrorMessage="1">
          <x14:formula1>
            <xm:f>IF(E20="H",IF(LEFT(BY19,2)="TR",BonusDD2,IF(LEFT(BY19,2)="PL",BonusDD3,IF(LEFT(BY19,2)="SY",BonusDD3,Data!$BI$1:$BI$5))),IF(E20="A",AcroABonus,IF(E20="B",AcroBBonus,IF(E20="C",AcroCBonus,IF(E20="P",AcroPBonus,Data!$BI$1:$BI$5)))))</xm:f>
          </x14:formula1>
          <xm:sqref>AC19 AC21 AC23 AC25 AC27 AC29 AC31 AC33 AC35 AC37 AC39 AC41 AC43 AC45 AC47 AC49 AC51 AC53 AC55 AC57 AC59 AC61 AC63 AC65 AC67 AC69</xm:sqref>
        </x14:dataValidation>
        <x14:dataValidation type="list" allowBlank="1" showInputMessage="1" showErrorMessage="1">
          <x14:formula1>
            <xm:f>IF(E20="H",IF(LEFT(BZ19,2)="PL",BonusDD3,IF(LEFT(BZ19,2)="SY",IF(OR(BZ19="SY-F",BY19="SY-P"),BonusDD4,BonusDD3),Data!$BI$1:$BI$5)),Data!$BI$1:$BI$5)</xm:f>
          </x14:formula1>
          <xm:sqref>AD19 AD21 AD23 AD25 AD27 AD29 AD31 AD33 AD35 AD37 AD39 AD41 AD43 AD45 AD47 AD49 AD51 AD53 AD55 AD57 AD59 AD61 AD63 AD65 AD67 AD69</xm:sqref>
        </x14:dataValidation>
        <x14:dataValidation type="list" allowBlank="1" showInputMessage="1" showErrorMessage="1">
          <x14:formula1>
            <xm:f>IF(E20="H",IF(LEFT(CA19,2)="SY",IF(OR(CA19="SY-F",BZ19="SY-P"),BonusDD4,BonusDD3),Data!$BI$1:$BI$5),Data!$BI$1:$BI$5)</xm:f>
          </x14:formula1>
          <xm:sqref>AE19 AE21 AE23 AE25 AE27 AE29 AE31 AE33 AE35 AE37 AE39 AE41 AE43 AE45 AE47 AE49 AE51 AE53 AE55 AE57 AE59 AE61 AE63 AE65 AE67 AE69</xm:sqref>
        </x14:dataValidation>
        <x14:dataValidation type="list" allowBlank="1" showInputMessage="1" showErrorMessage="1">
          <x14:formula1>
            <xm:f>IF(E20="H",IF(LEFT(CB19,2)="SY",BonusDD4,Data!$BI$1:$BI$5),Data!$BI$1:$BI$5)</xm:f>
          </x14:formula1>
          <xm:sqref>AF19 AF69 AF23 AF25 AF27 AF29 AF31 AF33 AF35 AF37 AF39 AF41 AF43 AF45 AF47 AF49 AF51 AF53 AF55 AF57 AF59 AF61 AF63 AF65 AF67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P46"/>
  <sheetViews>
    <sheetView zoomScaleNormal="100" workbookViewId="0">
      <selection activeCell="F14" sqref="F14:J14"/>
    </sheetView>
  </sheetViews>
  <sheetFormatPr defaultColWidth="9.140625" defaultRowHeight="12.75" x14ac:dyDescent="0.25"/>
  <cols>
    <col min="1" max="1" width="13" style="105" customWidth="1"/>
    <col min="2" max="2" width="12" style="105" customWidth="1"/>
    <col min="3" max="3" width="4" style="105" customWidth="1"/>
    <col min="4" max="4" width="1.85546875" style="105" customWidth="1"/>
    <col min="5" max="5" width="10.85546875" style="105" customWidth="1"/>
    <col min="6" max="6" width="12.7109375" style="105" customWidth="1"/>
    <col min="7" max="7" width="1.85546875" style="105" customWidth="1"/>
    <col min="8" max="8" width="31" style="105" customWidth="1"/>
    <col min="9" max="9" width="1.85546875" style="105" customWidth="1"/>
    <col min="10" max="10" width="19.140625" style="105" customWidth="1"/>
    <col min="11" max="11" width="7.7109375" style="105" customWidth="1"/>
    <col min="12" max="12" width="1.85546875" style="105" customWidth="1"/>
    <col min="13" max="13" width="20.7109375" style="105" customWidth="1"/>
    <col min="14" max="15" width="7.42578125" style="105" customWidth="1"/>
    <col min="16" max="16" width="0" style="105" hidden="1" customWidth="1"/>
    <col min="17" max="16384" width="9.140625" style="105"/>
  </cols>
  <sheetData>
    <row r="1" spans="1:16" ht="12" customHeight="1" x14ac:dyDescent="0.2">
      <c r="A1" s="104"/>
    </row>
    <row r="2" spans="1:16" ht="39.950000000000003" customHeight="1" x14ac:dyDescent="0.2">
      <c r="H2" s="175" t="s">
        <v>0</v>
      </c>
    </row>
    <row r="3" spans="1:16" ht="15" customHeight="1" x14ac:dyDescent="0.2"/>
    <row r="4" spans="1:16" ht="9" customHeight="1" x14ac:dyDescent="0.2">
      <c r="A4" s="106" t="str">
        <f>CONCATENATE("In force as from 1 January 2023 ",'Coach Card'!AG4)</f>
        <v>In force as from 1 January 2023 v. 3.6 - lux</v>
      </c>
    </row>
    <row r="5" spans="1:16" ht="33" customHeight="1" x14ac:dyDescent="0.2">
      <c r="A5" s="243" t="str">
        <f>IF('Coach Card'!A5="Club:","Club:",CONCATENATE("FINA Member Federation:"))</f>
        <v>Club:</v>
      </c>
      <c r="B5" s="244"/>
      <c r="C5" s="245"/>
      <c r="D5" s="107"/>
      <c r="E5" s="257" t="str">
        <f>IF('Coach Card'!A5="Club:",IF('Coach Card'!F5&lt;&gt;"",'Coach Card'!F5,""),IF('Coach Card'!F5&lt;&gt;"",CONCATENATE('Coach Card'!F5," - ",'Coach Card'!L5),""))</f>
        <v/>
      </c>
      <c r="F5" s="257"/>
      <c r="G5" s="257"/>
      <c r="H5" s="257"/>
      <c r="I5" s="257"/>
      <c r="J5" s="257"/>
      <c r="K5" s="257"/>
      <c r="L5" s="257"/>
      <c r="M5" s="257"/>
      <c r="N5" s="257"/>
      <c r="O5" s="258"/>
    </row>
    <row r="6" spans="1:16" ht="33" customHeight="1" x14ac:dyDescent="0.2">
      <c r="A6" s="243" t="s">
        <v>803</v>
      </c>
      <c r="B6" s="244"/>
      <c r="C6" s="245"/>
      <c r="D6" s="107"/>
      <c r="E6" s="257" t="str">
        <f>IF('Coach Card'!F6&lt;&gt;"",'Coach Card'!F6,"")</f>
        <v>31st SL SYNCHRO CUP 2024</v>
      </c>
      <c r="F6" s="257"/>
      <c r="G6" s="257"/>
      <c r="H6" s="257"/>
      <c r="I6" s="257"/>
      <c r="J6" s="257"/>
      <c r="K6" s="257"/>
      <c r="L6" s="257"/>
      <c r="M6" s="257"/>
      <c r="N6" s="257"/>
      <c r="O6" s="258"/>
    </row>
    <row r="7" spans="1:16" ht="18" customHeight="1" x14ac:dyDescent="0.2">
      <c r="A7" s="248" t="s">
        <v>804</v>
      </c>
      <c r="B7" s="249"/>
      <c r="C7" s="250"/>
      <c r="D7" s="108" t="str">
        <f>IF('Coach Card'!N5&lt;&gt;"","X","")</f>
        <v/>
      </c>
      <c r="E7" s="240" t="s">
        <v>805</v>
      </c>
      <c r="F7" s="241"/>
      <c r="G7" s="108" t="str">
        <f>IF('Coach Card'!P5&lt;&gt;"","X","")</f>
        <v>X</v>
      </c>
      <c r="H7" s="110" t="s">
        <v>806</v>
      </c>
      <c r="I7" s="111"/>
      <c r="J7" s="246"/>
      <c r="K7" s="246"/>
      <c r="L7" s="112"/>
      <c r="M7" s="246"/>
      <c r="N7" s="246"/>
      <c r="O7" s="247"/>
    </row>
    <row r="8" spans="1:16" ht="18.95" customHeight="1" x14ac:dyDescent="0.15">
      <c r="A8" s="113" t="s">
        <v>4</v>
      </c>
      <c r="B8" s="114"/>
      <c r="C8" s="115"/>
      <c r="D8" s="108" t="str">
        <f>IF('Coach Card'!F8="Solo Technical","X","")</f>
        <v/>
      </c>
      <c r="E8" s="240" t="s">
        <v>807</v>
      </c>
      <c r="F8" s="242"/>
      <c r="G8" s="108" t="str">
        <f>IF('Coach Card'!F8="Male Solo Technical","X","")</f>
        <v/>
      </c>
      <c r="H8" s="109" t="s">
        <v>808</v>
      </c>
      <c r="I8" s="108" t="str">
        <f>IF('Coach Card'!F8="Duet Technical","X","")</f>
        <v/>
      </c>
      <c r="J8" s="240" t="s">
        <v>809</v>
      </c>
      <c r="K8" s="242"/>
      <c r="L8" s="108" t="str">
        <f>IF('Coach Card'!F8="Mixed Duet Technical","X","")</f>
        <v/>
      </c>
      <c r="M8" s="240" t="s">
        <v>810</v>
      </c>
      <c r="N8" s="241"/>
      <c r="O8" s="242"/>
    </row>
    <row r="9" spans="1:16" ht="18" customHeight="1" x14ac:dyDescent="0.25">
      <c r="A9" s="251" t="str">
        <f>'Coach Card'!F7</f>
        <v>Juniors 13 - 19</v>
      </c>
      <c r="B9" s="252"/>
      <c r="C9" s="253"/>
      <c r="D9" s="108" t="str">
        <f>IF('Coach Card'!F8="Female Solo Free","X","")</f>
        <v/>
      </c>
      <c r="E9" s="240" t="s">
        <v>1543</v>
      </c>
      <c r="F9" s="242"/>
      <c r="G9" s="108" t="str">
        <f>IF('Coach Card'!F8="Male Solo Free","X","")</f>
        <v/>
      </c>
      <c r="H9" s="109" t="s">
        <v>811</v>
      </c>
      <c r="I9" s="108" t="str">
        <f>IF('Coach Card'!F8="Duet Free","X","")</f>
        <v/>
      </c>
      <c r="J9" s="240" t="s">
        <v>812</v>
      </c>
      <c r="K9" s="242"/>
      <c r="L9" s="108" t="str">
        <f>IF('Coach Card'!F8="Mixed Duet Free","X","")</f>
        <v/>
      </c>
      <c r="M9" s="240" t="s">
        <v>813</v>
      </c>
      <c r="N9" s="241"/>
      <c r="O9" s="242"/>
    </row>
    <row r="10" spans="1:16" ht="18" customHeight="1" x14ac:dyDescent="0.25">
      <c r="A10" s="254"/>
      <c r="B10" s="255"/>
      <c r="C10" s="256"/>
      <c r="D10" s="108" t="str">
        <f>IF('Coach Card'!F8="Team Technical","X","")</f>
        <v/>
      </c>
      <c r="E10" s="240" t="s">
        <v>814</v>
      </c>
      <c r="F10" s="242"/>
      <c r="G10" s="108" t="str">
        <f>IF('Coach Card'!F8="Team Free","X","")</f>
        <v/>
      </c>
      <c r="H10" s="109" t="s">
        <v>815</v>
      </c>
      <c r="I10" s="108" t="str">
        <f>IF('Coach Card'!F8="Acrobatic","X","")</f>
        <v/>
      </c>
      <c r="J10" s="240" t="s">
        <v>816</v>
      </c>
      <c r="K10" s="242"/>
      <c r="L10" s="108" t="str">
        <f>IF('Coach Card'!F8="Free Combination","X","")</f>
        <v/>
      </c>
      <c r="M10" s="240" t="s">
        <v>817</v>
      </c>
      <c r="N10" s="241"/>
      <c r="O10" s="242"/>
    </row>
    <row r="11" spans="1:16" ht="33" customHeight="1" x14ac:dyDescent="0.2">
      <c r="A11" s="243" t="s">
        <v>818</v>
      </c>
      <c r="B11" s="244"/>
      <c r="C11" s="245"/>
      <c r="D11" s="107"/>
      <c r="E11" s="257" t="str">
        <f>IF('Coach Card'!N6&lt;&gt;"",'Coach Card'!N6,"")</f>
        <v/>
      </c>
      <c r="F11" s="257"/>
      <c r="G11" s="257"/>
      <c r="H11" s="257"/>
      <c r="I11" s="257"/>
      <c r="J11" s="257"/>
      <c r="K11" s="257"/>
      <c r="L11" s="257"/>
      <c r="M11" s="257"/>
      <c r="N11" s="257"/>
      <c r="O11" s="258"/>
    </row>
    <row r="12" spans="1:16" ht="33" customHeight="1" x14ac:dyDescent="0.2">
      <c r="A12" s="243" t="s">
        <v>819</v>
      </c>
      <c r="B12" s="244"/>
      <c r="C12" s="245"/>
      <c r="D12" s="107"/>
      <c r="E12" s="257" t="str">
        <f>IF('Coach Card'!F9&lt;&gt;"",'Coach Card'!F9,"")</f>
        <v/>
      </c>
      <c r="F12" s="257"/>
      <c r="G12" s="257"/>
      <c r="H12" s="257"/>
      <c r="I12" s="257"/>
      <c r="J12" s="257"/>
      <c r="K12" s="257"/>
      <c r="L12" s="257"/>
      <c r="M12" s="257"/>
      <c r="N12" s="257"/>
      <c r="O12" s="258"/>
    </row>
    <row r="13" spans="1:16" ht="20.100000000000001" customHeight="1" x14ac:dyDescent="0.2">
      <c r="A13" s="264" t="s">
        <v>820</v>
      </c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6"/>
    </row>
    <row r="14" spans="1:16" ht="20.100000000000001" customHeight="1" x14ac:dyDescent="0.2">
      <c r="A14" s="121" t="s">
        <v>821</v>
      </c>
      <c r="B14" s="121" t="s">
        <v>822</v>
      </c>
      <c r="C14" s="267" t="s">
        <v>823</v>
      </c>
      <c r="D14" s="268"/>
      <c r="E14" s="121" t="s">
        <v>824</v>
      </c>
      <c r="F14" s="269" t="s">
        <v>825</v>
      </c>
      <c r="G14" s="270"/>
      <c r="H14" s="270"/>
      <c r="I14" s="270"/>
      <c r="J14" s="271"/>
      <c r="K14" s="269" t="s">
        <v>826</v>
      </c>
      <c r="L14" s="270"/>
      <c r="M14" s="271"/>
      <c r="N14" s="116" t="s">
        <v>827</v>
      </c>
      <c r="O14" s="127" t="s">
        <v>849</v>
      </c>
    </row>
    <row r="15" spans="1:16" ht="24.95" customHeight="1" x14ac:dyDescent="0.2">
      <c r="A15" s="156" t="str">
        <f>IFERROR(IF('Coach Card'!D19&lt;&gt;"",IF('Coach Card'!C19&lt;&gt;"",CONCATENATE("0",'Coach Card'!A19,":",IF('Coach Card'!B19&lt;10,CONCATENATE("0",'Coach Card'!B19),'Coach Card'!B19)," - 0",'Coach Card'!C19,":",IF('Coach Card'!D19&lt;10,CONCATENATE("0",'Coach Card'!D19),'Coach Card'!D19)),""),""),"")</f>
        <v/>
      </c>
      <c r="B15" s="156" t="str">
        <f ca="1">IF(OFFSET('Coach Card'!$F$17,P15,0)="Transition","Transition",IF(LEFT(OFFSET('Coach Card'!$F$17,P15,0),4)="Hybr","Hybrid",IF(LEFT(OFFSET('Coach Card'!$F$17,P15,0),4)="Acro","Acrobatic",IF(LEFT(OFFSET('Coach Card'!$F$17,P15,0),4)="Tech","TRE",""))))</f>
        <v/>
      </c>
      <c r="C15" s="259" t="str">
        <f ca="1">IF(OFFSET('Coach Card'!$G$17,P15,0)&gt;0,OFFSET('Coach Card'!$G$17,P15,0),"")</f>
        <v/>
      </c>
      <c r="D15" s="260"/>
      <c r="E15" s="156" t="str">
        <f ca="1">IF(OFFSET('Coach Card'!$H$17,P15,0)&gt;0,OFFSET('Coach Card'!$H$17,P15,0),"")</f>
        <v/>
      </c>
      <c r="F15" s="261" t="str">
        <f ca="1">CONCATENATE(OFFSET('Coach Card'!$J$17,P15,0),IF(OFFSET('Coach Card'!$K$17,P15,0)&lt;&gt;""," - ",""),OFFSET('Coach Card'!$K$17,P15,0),IF(OFFSET('Coach Card'!$L$17,P15,0)&lt;&gt;""," - ",""),OFFSET('Coach Card'!$L$17,P15,0),IF(OFFSET('Coach Card'!$M$17,P15,0)&lt;&gt;""," - ",""),OFFSET('Coach Card'!$M$17,P15,0),IF(OFFSET('Coach Card'!$N$17,P15,0)&lt;&gt;""," - ",""),OFFSET('Coach Card'!$N$17,P15,0),IF(OFFSET('Coach Card'!$O$17,P15,0)&lt;&gt;""," - ",""),OFFSET('Coach Card'!$O$17,P15,0),IF(OFFSET('Coach Card'!$P$17,P15,0)&lt;&gt;""," - ",""),OFFSET('Coach Card'!$P$17,P15,0),IF(OFFSET('Coach Card'!$Q$17,P15,0)&lt;&gt;""," - ",""),OFFSET('Coach Card'!$Q$17,P15,0),IF(OFFSET('Coach Card'!$R$17,P15,0)&lt;&gt;""," - ",""),OFFSET('Coach Card'!$R$17,P15,0),IF(OFFSET('Coach Card'!$S$17,P15,0)&lt;&gt;""," - ",""),OFFSET('Coach Card'!$S$17,P15,0),IF(OFFSET('Coach Card'!$T$17,P15,0)&lt;&gt;""," - ",""),OFFSET('Coach Card'!$T$17,P15,0),IF(OFFSET('Coach Card'!$U$17,P15,0)&lt;&gt;""," - ",""),OFFSET('Coach Card'!$U$17,P15,0),IF(OFFSET('Coach Card'!$V$17,P15,0)&lt;&gt;""," - ",""),OFFSET('Coach Card'!$V$17,P15,0),IF(OFFSET('Coach Card'!$W$17,P15,0)&lt;&gt;""," - ",""),OFFSET('Coach Card'!$W$17,P15,0),IF(OFFSET('Coach Card'!$X$17,P15,0)&lt;&gt;""," - ",""),OFFSET('Coach Card'!$X$17,P15,0),IF(OFFSET('Coach Card'!$Y$17,P15,0)&lt;&gt;""," - ",""),OFFSET('Coach Card'!$Y$17,P15,0),IF(OFFSET('Coach Card'!$Z$17,P15,0)&lt;&gt;""," - ",""),OFFSET('Coach Card'!$Z$17,P15,0),IF(OFFSET('Coach Card'!$AA$17,P15,0)&lt;&gt;""," - ",""),OFFSET('Coach Card'!$AA$17,P15,0),IF(LEFT(E15,4)="Acro",CONCATENATE(" - ",OFFSET('Coach Card'!$AB$17,P15,0),IF(OFFSET('Coach Card'!$AC$17,P15,0)&lt;&gt;""," - ",""),OFFSET('Coach Card'!$AC$17,P15,0),IF(OFFSET('Coach Card'!$AD$17,P15,0)&lt;&gt;""," - ",""),OFFSET('Coach Card'!$AD$17,P15,0),IF(OFFSET('Coach Card'!$AE$17,P15,0)&lt;&gt;""," - ",""),OFFSET('Coach Card'!$AE$17,P15,0),IF(OFFSET('Coach Card'!$AF$17,P15,0)&lt;&gt;""," - ",""),OFFSET('Coach Card'!$AF$17,P15,0)),""))</f>
        <v/>
      </c>
      <c r="G15" s="262"/>
      <c r="H15" s="262"/>
      <c r="I15" s="262"/>
      <c r="J15" s="263"/>
      <c r="K15" s="261" t="str">
        <f ca="1">IF(LEFT(E15,4)="Acro","",CONCATENATE(OFFSET('Coach Card'!$AB$17,P15,0),IF(OFFSET('Coach Card'!$AC$17,P15,0)&lt;&gt;""," - ",""),OFFSET('Coach Card'!$AC$17,P15,0),IF(OFFSET('Coach Card'!$AD$17,P15,0)&lt;&gt;""," - ",""),OFFSET('Coach Card'!$AD$17,P15,0),IF(OFFSET('Coach Card'!$AE$17,P15,0)&lt;&gt;""," - ",""),OFFSET('Coach Card'!$AE$17,P15,0),IF(OFFSET('Coach Card'!$AF$17,P15,0)&lt;&gt;""," - ",""),OFFSET('Coach Card'!$AF$17,P15,0)))</f>
        <v/>
      </c>
      <c r="L15" s="262"/>
      <c r="M15" s="263"/>
      <c r="N15" s="159" t="str">
        <f ca="1">IF(OFFSET('Coach Card'!$AG$18,P15,0)=0,"",OFFSET('Coach Card'!$AG$18,P15,0))</f>
        <v/>
      </c>
      <c r="O15" s="117"/>
      <c r="P15" s="105">
        <v>2</v>
      </c>
    </row>
    <row r="16" spans="1:16" ht="24.95" customHeight="1" x14ac:dyDescent="0.2">
      <c r="A16" s="156" t="str">
        <f>IFERROR(IF('Coach Card'!D21&lt;&gt;"",IF('Coach Card'!C21&lt;&gt;"",CONCATENATE("0",'Coach Card'!A21,":",IF('Coach Card'!B21&lt;10,CONCATENATE("0",'Coach Card'!B21),'Coach Card'!B21)," - 0",'Coach Card'!C21,":",IF('Coach Card'!D21&lt;10,CONCATENATE("0",'Coach Card'!D21),'Coach Card'!D21)),""),""),"")</f>
        <v/>
      </c>
      <c r="B16" s="156" t="str">
        <f ca="1">IF(OFFSET('Coach Card'!$F$17,P16,0)="Transition","Transition",IF(LEFT(OFFSET('Coach Card'!$F$17,P16,0),4)="Hybr","Hybrid",IF(LEFT(OFFSET('Coach Card'!$F$17,P16,0),4)="Acro","Acrobatic",IF(LEFT(OFFSET('Coach Card'!$F$17,P16,0),4)="Tech","TRE",""))))</f>
        <v/>
      </c>
      <c r="C16" s="259" t="str">
        <f ca="1">IF(OFFSET('Coach Card'!$G$17,P16,0)&gt;0,OFFSET('Coach Card'!$G$17,P16,0),"")</f>
        <v/>
      </c>
      <c r="D16" s="260"/>
      <c r="E16" s="156" t="str">
        <f ca="1">IF(OFFSET('Coach Card'!$H$17,P16,0)&gt;0,OFFSET('Coach Card'!$H$17,P16,0),"")</f>
        <v/>
      </c>
      <c r="F16" s="261" t="str">
        <f ca="1">CONCATENATE(OFFSET('Coach Card'!$J$17,P16,0),IF(OFFSET('Coach Card'!$K$17,P16,0)&lt;&gt;""," - ",""),OFFSET('Coach Card'!$K$17,P16,0),IF(OFFSET('Coach Card'!$L$17,P16,0)&lt;&gt;""," - ",""),OFFSET('Coach Card'!$L$17,P16,0),IF(OFFSET('Coach Card'!$M$17,P16,0)&lt;&gt;""," - ",""),OFFSET('Coach Card'!$M$17,P16,0),IF(OFFSET('Coach Card'!$N$17,P16,0)&lt;&gt;""," - ",""),OFFSET('Coach Card'!$N$17,P16,0),IF(OFFSET('Coach Card'!$O$17,P16,0)&lt;&gt;""," - ",""),OFFSET('Coach Card'!$O$17,P16,0),IF(OFFSET('Coach Card'!$P$17,P16,0)&lt;&gt;""," - ",""),OFFSET('Coach Card'!$P$17,P16,0),IF(OFFSET('Coach Card'!$Q$17,P16,0)&lt;&gt;""," - ",""),OFFSET('Coach Card'!$Q$17,P16,0),IF(OFFSET('Coach Card'!$R$17,P16,0)&lt;&gt;""," - ",""),OFFSET('Coach Card'!$R$17,P16,0),IF(OFFSET('Coach Card'!$S$17,P16,0)&lt;&gt;""," - ",""),OFFSET('Coach Card'!$S$17,P16,0),IF(OFFSET('Coach Card'!$T$17,P16,0)&lt;&gt;""," - ",""),OFFSET('Coach Card'!$T$17,P16,0),IF(OFFSET('Coach Card'!$U$17,P16,0)&lt;&gt;""," - ",""),OFFSET('Coach Card'!$U$17,P16,0),IF(OFFSET('Coach Card'!$V$17,P16,0)&lt;&gt;""," - ",""),OFFSET('Coach Card'!$V$17,P16,0),IF(OFFSET('Coach Card'!$W$17,P16,0)&lt;&gt;""," - ",""),OFFSET('Coach Card'!$W$17,P16,0),IF(OFFSET('Coach Card'!$X$17,P16,0)&lt;&gt;""," - ",""),OFFSET('Coach Card'!$X$17,P16,0),IF(OFFSET('Coach Card'!$Y$17,P16,0)&lt;&gt;""," - ",""),OFFSET('Coach Card'!$Y$17,P16,0),IF(OFFSET('Coach Card'!$Z$17,P16,0)&lt;&gt;""," - ",""),OFFSET('Coach Card'!$Z$17,P16,0),IF(OFFSET('Coach Card'!$AA$17,P16,0)&lt;&gt;""," - ",""),OFFSET('Coach Card'!$AA$17,P16,0),IF(LEFT(E16,4)="Acro",CONCATENATE(" - ",OFFSET('Coach Card'!$AB$17,P16,0),IF(OFFSET('Coach Card'!$AC$17,P16,0)&lt;&gt;""," - ",""),OFFSET('Coach Card'!$AC$17,P16,0),IF(OFFSET('Coach Card'!$AD$17,P16,0)&lt;&gt;""," - ",""),OFFSET('Coach Card'!$AD$17,P16,0),IF(OFFSET('Coach Card'!$AE$17,P16,0)&lt;&gt;""," - ",""),OFFSET('Coach Card'!$AE$17,P16,0),IF(OFFSET('Coach Card'!$AF$17,P16,0)&lt;&gt;""," - ",""),OFFSET('Coach Card'!$AF$17,P16,0)),""))</f>
        <v/>
      </c>
      <c r="G16" s="262"/>
      <c r="H16" s="262"/>
      <c r="I16" s="262"/>
      <c r="J16" s="263"/>
      <c r="K16" s="261" t="str">
        <f ca="1">IF(LEFT(E16,4)="Acro","",CONCATENATE(OFFSET('Coach Card'!$AB$17,P16,0),IF(OFFSET('Coach Card'!$AC$17,P16,0)&lt;&gt;""," - ",""),OFFSET('Coach Card'!$AC$17,P16,0),IF(OFFSET('Coach Card'!$AD$17,P16,0)&lt;&gt;""," - ",""),OFFSET('Coach Card'!$AD$17,P16,0),IF(OFFSET('Coach Card'!$AE$17,P16,0)&lt;&gt;""," - ",""),OFFSET('Coach Card'!$AE$17,P16,0),IF(OFFSET('Coach Card'!$AF$17,P16,0)&lt;&gt;""," - ",""),OFFSET('Coach Card'!$AF$17,P16,0)))</f>
        <v/>
      </c>
      <c r="L16" s="262"/>
      <c r="M16" s="263"/>
      <c r="N16" s="159" t="str">
        <f ca="1">IF(OFFSET('Coach Card'!$AG$18,P16,0)=0,"",OFFSET('Coach Card'!$AG$18,P16,0))</f>
        <v/>
      </c>
      <c r="O16" s="117"/>
      <c r="P16" s="105">
        <v>4</v>
      </c>
    </row>
    <row r="17" spans="1:16" ht="24.95" customHeight="1" x14ac:dyDescent="0.2">
      <c r="A17" s="156" t="str">
        <f>IFERROR(IF('Coach Card'!D23&lt;&gt;"",IF('Coach Card'!C23&lt;&gt;"",CONCATENATE("0",'Coach Card'!A23,":",IF('Coach Card'!B23&lt;10,CONCATENATE("0",'Coach Card'!B23),'Coach Card'!B23)," - 0",'Coach Card'!C23,":",IF('Coach Card'!D23&lt;10,CONCATENATE("0",'Coach Card'!D23),'Coach Card'!D23)),""),""),"")</f>
        <v/>
      </c>
      <c r="B17" s="156" t="str">
        <f ca="1">IF(OFFSET('Coach Card'!$F$17,P17,0)="Transition","Transition",IF(LEFT(OFFSET('Coach Card'!$F$17,P17,0),4)="Hybr","Hybrid",IF(LEFT(OFFSET('Coach Card'!$F$17,P17,0),4)="Acro","Acrobatic",IF(LEFT(OFFSET('Coach Card'!$F$17,P17,0),4)="Tech","TRE",""))))</f>
        <v/>
      </c>
      <c r="C17" s="259" t="str">
        <f ca="1">IF(OFFSET('Coach Card'!$G$17,P17,0)&gt;0,OFFSET('Coach Card'!$G$17,P17,0),"")</f>
        <v/>
      </c>
      <c r="D17" s="260"/>
      <c r="E17" s="156" t="str">
        <f ca="1">IF(OFFSET('Coach Card'!$H$17,P17,0)&gt;0,OFFSET('Coach Card'!$H$17,P17,0),"")</f>
        <v/>
      </c>
      <c r="F17" s="261" t="str">
        <f ca="1">CONCATENATE(OFFSET('Coach Card'!$J$17,P17,0),IF(OFFSET('Coach Card'!$K$17,P17,0)&lt;&gt;""," - ",""),OFFSET('Coach Card'!$K$17,P17,0),IF(OFFSET('Coach Card'!$L$17,P17,0)&lt;&gt;""," - ",""),OFFSET('Coach Card'!$L$17,P17,0),IF(OFFSET('Coach Card'!$M$17,P17,0)&lt;&gt;""," - ",""),OFFSET('Coach Card'!$M$17,P17,0),IF(OFFSET('Coach Card'!$N$17,P17,0)&lt;&gt;""," - ",""),OFFSET('Coach Card'!$N$17,P17,0),IF(OFFSET('Coach Card'!$O$17,P17,0)&lt;&gt;""," - ",""),OFFSET('Coach Card'!$O$17,P17,0),IF(OFFSET('Coach Card'!$P$17,P17,0)&lt;&gt;""," - ",""),OFFSET('Coach Card'!$P$17,P17,0),IF(OFFSET('Coach Card'!$Q$17,P17,0)&lt;&gt;""," - ",""),OFFSET('Coach Card'!$Q$17,P17,0),IF(OFFSET('Coach Card'!$R$17,P17,0)&lt;&gt;""," - ",""),OFFSET('Coach Card'!$R$17,P17,0),IF(OFFSET('Coach Card'!$S$17,P17,0)&lt;&gt;""," - ",""),OFFSET('Coach Card'!$S$17,P17,0),IF(OFFSET('Coach Card'!$T$17,P17,0)&lt;&gt;""," - ",""),OFFSET('Coach Card'!$T$17,P17,0),IF(OFFSET('Coach Card'!$U$17,P17,0)&lt;&gt;""," - ",""),OFFSET('Coach Card'!$U$17,P17,0),IF(OFFSET('Coach Card'!$V$17,P17,0)&lt;&gt;""," - ",""),OFFSET('Coach Card'!$V$17,P17,0),IF(OFFSET('Coach Card'!$W$17,P17,0)&lt;&gt;""," - ",""),OFFSET('Coach Card'!$W$17,P17,0),IF(OFFSET('Coach Card'!$X$17,P17,0)&lt;&gt;""," - ",""),OFFSET('Coach Card'!$X$17,P17,0),IF(OFFSET('Coach Card'!$Y$17,P17,0)&lt;&gt;""," - ",""),OFFSET('Coach Card'!$Y$17,P17,0),IF(OFFSET('Coach Card'!$Z$17,P17,0)&lt;&gt;""," - ",""),OFFSET('Coach Card'!$Z$17,P17,0),IF(OFFSET('Coach Card'!$AA$17,P17,0)&lt;&gt;""," - ",""),OFFSET('Coach Card'!$AA$17,P17,0),IF(LEFT(E17,4)="Acro",CONCATENATE(" - ",OFFSET('Coach Card'!$AB$17,P17,0),IF(OFFSET('Coach Card'!$AC$17,P17,0)&lt;&gt;""," - ",""),OFFSET('Coach Card'!$AC$17,P17,0),IF(OFFSET('Coach Card'!$AD$17,P17,0)&lt;&gt;""," - ",""),OFFSET('Coach Card'!$AD$17,P17,0),IF(OFFSET('Coach Card'!$AE$17,P17,0)&lt;&gt;""," - ",""),OFFSET('Coach Card'!$AE$17,P17,0),IF(OFFSET('Coach Card'!$AF$17,P17,0)&lt;&gt;""," - ",""),OFFSET('Coach Card'!$AF$17,P17,0)),""))</f>
        <v/>
      </c>
      <c r="G17" s="262"/>
      <c r="H17" s="262"/>
      <c r="I17" s="262"/>
      <c r="J17" s="263"/>
      <c r="K17" s="261" t="str">
        <f ca="1">IF(LEFT(E17,4)="Acro","",CONCATENATE(OFFSET('Coach Card'!$AB$17,P17,0),IF(OFFSET('Coach Card'!$AC$17,P17,0)&lt;&gt;""," - ",""),OFFSET('Coach Card'!$AC$17,P17,0),IF(OFFSET('Coach Card'!$AD$17,P17,0)&lt;&gt;""," - ",""),OFFSET('Coach Card'!$AD$17,P17,0),IF(OFFSET('Coach Card'!$AE$17,P17,0)&lt;&gt;""," - ",""),OFFSET('Coach Card'!$AE$17,P17,0),IF(OFFSET('Coach Card'!$AF$17,P17,0)&lt;&gt;""," - ",""),OFFSET('Coach Card'!$AF$17,P17,0)))</f>
        <v/>
      </c>
      <c r="L17" s="262"/>
      <c r="M17" s="263"/>
      <c r="N17" s="159" t="str">
        <f ca="1">IF(OFFSET('Coach Card'!$AG$18,P17,0)=0,"",OFFSET('Coach Card'!$AG$18,P17,0))</f>
        <v/>
      </c>
      <c r="O17" s="117"/>
      <c r="P17" s="105">
        <v>6</v>
      </c>
    </row>
    <row r="18" spans="1:16" ht="24.95" customHeight="1" x14ac:dyDescent="0.2">
      <c r="A18" s="156" t="str">
        <f>IFERROR(IF('Coach Card'!D25&lt;&gt;"",IF('Coach Card'!C25&lt;&gt;"",CONCATENATE("0",'Coach Card'!A25,":",IF('Coach Card'!B25&lt;10,CONCATENATE("0",'Coach Card'!B25),'Coach Card'!B25)," - 0",'Coach Card'!C25,":",IF('Coach Card'!D25&lt;10,CONCATENATE("0",'Coach Card'!D25),'Coach Card'!D25)),""),""),"")</f>
        <v/>
      </c>
      <c r="B18" s="156" t="str">
        <f ca="1">IF(OFFSET('Coach Card'!$F$17,P18,0)="Transition","Transition",IF(LEFT(OFFSET('Coach Card'!$F$17,P18,0),4)="Hybr","Hybrid",IF(LEFT(OFFSET('Coach Card'!$F$17,P18,0),4)="Acro","Acrobatic",IF(LEFT(OFFSET('Coach Card'!$F$17,P18,0),4)="Tech","TRE",""))))</f>
        <v/>
      </c>
      <c r="C18" s="259" t="str">
        <f ca="1">IF(OFFSET('Coach Card'!$G$17,P18,0)&gt;0,OFFSET('Coach Card'!$G$17,P18,0),"")</f>
        <v/>
      </c>
      <c r="D18" s="260"/>
      <c r="E18" s="156" t="str">
        <f ca="1">IF(OFFSET('Coach Card'!$H$17,P18,0)&gt;0,OFFSET('Coach Card'!$H$17,P18,0),"")</f>
        <v/>
      </c>
      <c r="F18" s="261" t="str">
        <f ca="1">CONCATENATE(OFFSET('Coach Card'!$J$17,P18,0),IF(OFFSET('Coach Card'!$K$17,P18,0)&lt;&gt;""," - ",""),OFFSET('Coach Card'!$K$17,P18,0),IF(OFFSET('Coach Card'!$L$17,P18,0)&lt;&gt;""," - ",""),OFFSET('Coach Card'!$L$17,P18,0),IF(OFFSET('Coach Card'!$M$17,P18,0)&lt;&gt;""," - ",""),OFFSET('Coach Card'!$M$17,P18,0),IF(OFFSET('Coach Card'!$N$17,P18,0)&lt;&gt;""," - ",""),OFFSET('Coach Card'!$N$17,P18,0),IF(OFFSET('Coach Card'!$O$17,P18,0)&lt;&gt;""," - ",""),OFFSET('Coach Card'!$O$17,P18,0),IF(OFFSET('Coach Card'!$P$17,P18,0)&lt;&gt;""," - ",""),OFFSET('Coach Card'!$P$17,P18,0),IF(OFFSET('Coach Card'!$Q$17,P18,0)&lt;&gt;""," - ",""),OFFSET('Coach Card'!$Q$17,P18,0),IF(OFFSET('Coach Card'!$R$17,P18,0)&lt;&gt;""," - ",""),OFFSET('Coach Card'!$R$17,P18,0),IF(OFFSET('Coach Card'!$S$17,P18,0)&lt;&gt;""," - ",""),OFFSET('Coach Card'!$S$17,P18,0),IF(OFFSET('Coach Card'!$T$17,P18,0)&lt;&gt;""," - ",""),OFFSET('Coach Card'!$T$17,P18,0),IF(OFFSET('Coach Card'!$U$17,P18,0)&lt;&gt;""," - ",""),OFFSET('Coach Card'!$U$17,P18,0),IF(OFFSET('Coach Card'!$V$17,P18,0)&lt;&gt;""," - ",""),OFFSET('Coach Card'!$V$17,P18,0),IF(OFFSET('Coach Card'!$W$17,P18,0)&lt;&gt;""," - ",""),OFFSET('Coach Card'!$W$17,P18,0),IF(OFFSET('Coach Card'!$X$17,P18,0)&lt;&gt;""," - ",""),OFFSET('Coach Card'!$X$17,P18,0),IF(OFFSET('Coach Card'!$Y$17,P18,0)&lt;&gt;""," - ",""),OFFSET('Coach Card'!$Y$17,P18,0),IF(OFFSET('Coach Card'!$Z$17,P18,0)&lt;&gt;""," - ",""),OFFSET('Coach Card'!$Z$17,P18,0),IF(OFFSET('Coach Card'!$AA$17,P18,0)&lt;&gt;""," - ",""),OFFSET('Coach Card'!$AA$17,P18,0),IF(LEFT(E18,4)="Acro",CONCATENATE(" - ",OFFSET('Coach Card'!$AB$17,P18,0),IF(OFFSET('Coach Card'!$AC$17,P18,0)&lt;&gt;""," - ",""),OFFSET('Coach Card'!$AC$17,P18,0),IF(OFFSET('Coach Card'!$AD$17,P18,0)&lt;&gt;""," - ",""),OFFSET('Coach Card'!$AD$17,P18,0),IF(OFFSET('Coach Card'!$AE$17,P18,0)&lt;&gt;""," - ",""),OFFSET('Coach Card'!$AE$17,P18,0),IF(OFFSET('Coach Card'!$AF$17,P18,0)&lt;&gt;""," - ",""),OFFSET('Coach Card'!$AF$17,P18,0)),""))</f>
        <v/>
      </c>
      <c r="G18" s="262"/>
      <c r="H18" s="262"/>
      <c r="I18" s="262"/>
      <c r="J18" s="263"/>
      <c r="K18" s="261" t="str">
        <f ca="1">IF(LEFT(E18,4)="Acro","",CONCATENATE(OFFSET('Coach Card'!$AB$17,P18,0),IF(OFFSET('Coach Card'!$AC$17,P18,0)&lt;&gt;""," - ",""),OFFSET('Coach Card'!$AC$17,P18,0),IF(OFFSET('Coach Card'!$AD$17,P18,0)&lt;&gt;""," - ",""),OFFSET('Coach Card'!$AD$17,P18,0),IF(OFFSET('Coach Card'!$AE$17,P18,0)&lt;&gt;""," - ",""),OFFSET('Coach Card'!$AE$17,P18,0),IF(OFFSET('Coach Card'!$AF$17,P18,0)&lt;&gt;""," - ",""),OFFSET('Coach Card'!$AF$17,P18,0)))</f>
        <v/>
      </c>
      <c r="L18" s="262"/>
      <c r="M18" s="263"/>
      <c r="N18" s="159" t="str">
        <f ca="1">IF(OFFSET('Coach Card'!$AG$18,P18,0)=0,"",OFFSET('Coach Card'!$AG$18,P18,0))</f>
        <v/>
      </c>
      <c r="O18" s="117"/>
      <c r="P18" s="105">
        <v>8</v>
      </c>
    </row>
    <row r="19" spans="1:16" ht="24.95" customHeight="1" x14ac:dyDescent="0.2">
      <c r="A19" s="156" t="str">
        <f>IFERROR(IF('Coach Card'!D27&lt;&gt;"",IF('Coach Card'!C27&lt;&gt;"",CONCATENATE("0",'Coach Card'!A27,":",IF('Coach Card'!B27&lt;10,CONCATENATE("0",'Coach Card'!B27),'Coach Card'!B27)," - 0",'Coach Card'!C27,":",IF('Coach Card'!D27&lt;10,CONCATENATE("0",'Coach Card'!D27),'Coach Card'!D27)),""),""),"")</f>
        <v/>
      </c>
      <c r="B19" s="156" t="str">
        <f ca="1">IF(OFFSET('Coach Card'!$F$17,P19,0)="Transition","Transition",IF(LEFT(OFFSET('Coach Card'!$F$17,P19,0),4)="Hybr","Hybrid",IF(LEFT(OFFSET('Coach Card'!$F$17,P19,0),4)="Acro","Acrobatic",IF(LEFT(OFFSET('Coach Card'!$F$17,P19,0),4)="Tech","TRE",""))))</f>
        <v/>
      </c>
      <c r="C19" s="259" t="str">
        <f ca="1">IF(OFFSET('Coach Card'!$G$17,P19,0)&gt;0,OFFSET('Coach Card'!$G$17,P19,0),"")</f>
        <v/>
      </c>
      <c r="D19" s="260"/>
      <c r="E19" s="156" t="str">
        <f ca="1">IF(OFFSET('Coach Card'!$H$17,P19,0)&gt;0,OFFSET('Coach Card'!$H$17,P19,0),"")</f>
        <v/>
      </c>
      <c r="F19" s="261" t="str">
        <f ca="1">CONCATENATE(OFFSET('Coach Card'!$J$17,P19,0),IF(OFFSET('Coach Card'!$K$17,P19,0)&lt;&gt;""," - ",""),OFFSET('Coach Card'!$K$17,P19,0),IF(OFFSET('Coach Card'!$L$17,P19,0)&lt;&gt;""," - ",""),OFFSET('Coach Card'!$L$17,P19,0),IF(OFFSET('Coach Card'!$M$17,P19,0)&lt;&gt;""," - ",""),OFFSET('Coach Card'!$M$17,P19,0),IF(OFFSET('Coach Card'!$N$17,P19,0)&lt;&gt;""," - ",""),OFFSET('Coach Card'!$N$17,P19,0),IF(OFFSET('Coach Card'!$O$17,P19,0)&lt;&gt;""," - ",""),OFFSET('Coach Card'!$O$17,P19,0),IF(OFFSET('Coach Card'!$P$17,P19,0)&lt;&gt;""," - ",""),OFFSET('Coach Card'!$P$17,P19,0),IF(OFFSET('Coach Card'!$Q$17,P19,0)&lt;&gt;""," - ",""),OFFSET('Coach Card'!$Q$17,P19,0),IF(OFFSET('Coach Card'!$R$17,P19,0)&lt;&gt;""," - ",""),OFFSET('Coach Card'!$R$17,P19,0),IF(OFFSET('Coach Card'!$S$17,P19,0)&lt;&gt;""," - ",""),OFFSET('Coach Card'!$S$17,P19,0),IF(OFFSET('Coach Card'!$T$17,P19,0)&lt;&gt;""," - ",""),OFFSET('Coach Card'!$T$17,P19,0),IF(OFFSET('Coach Card'!$U$17,P19,0)&lt;&gt;""," - ",""),OFFSET('Coach Card'!$U$17,P19,0),IF(OFFSET('Coach Card'!$V$17,P19,0)&lt;&gt;""," - ",""),OFFSET('Coach Card'!$V$17,P19,0),IF(OFFSET('Coach Card'!$W$17,P19,0)&lt;&gt;""," - ",""),OFFSET('Coach Card'!$W$17,P19,0),IF(OFFSET('Coach Card'!$X$17,P19,0)&lt;&gt;""," - ",""),OFFSET('Coach Card'!$X$17,P19,0),IF(OFFSET('Coach Card'!$Y$17,P19,0)&lt;&gt;""," - ",""),OFFSET('Coach Card'!$Y$17,P19,0),IF(OFFSET('Coach Card'!$Z$17,P19,0)&lt;&gt;""," - ",""),OFFSET('Coach Card'!$Z$17,P19,0),IF(OFFSET('Coach Card'!$AA$17,P19,0)&lt;&gt;""," - ",""),OFFSET('Coach Card'!$AA$17,P19,0),IF(LEFT(E19,4)="Acro",CONCATENATE(" - ",OFFSET('Coach Card'!$AB$17,P19,0),IF(OFFSET('Coach Card'!$AC$17,P19,0)&lt;&gt;""," - ",""),OFFSET('Coach Card'!$AC$17,P19,0),IF(OFFSET('Coach Card'!$AD$17,P19,0)&lt;&gt;""," - ",""),OFFSET('Coach Card'!$AD$17,P19,0),IF(OFFSET('Coach Card'!$AE$17,P19,0)&lt;&gt;""," - ",""),OFFSET('Coach Card'!$AE$17,P19,0),IF(OFFSET('Coach Card'!$AF$17,P19,0)&lt;&gt;""," - ",""),OFFSET('Coach Card'!$AF$17,P19,0)),""))</f>
        <v/>
      </c>
      <c r="G19" s="262"/>
      <c r="H19" s="262"/>
      <c r="I19" s="262"/>
      <c r="J19" s="263"/>
      <c r="K19" s="261" t="str">
        <f ca="1">IF(LEFT(E19,4)="Acro","",CONCATENATE(OFFSET('Coach Card'!$AB$17,P19,0),IF(OFFSET('Coach Card'!$AC$17,P19,0)&lt;&gt;""," - ",""),OFFSET('Coach Card'!$AC$17,P19,0),IF(OFFSET('Coach Card'!$AD$17,P19,0)&lt;&gt;""," - ",""),OFFSET('Coach Card'!$AD$17,P19,0),IF(OFFSET('Coach Card'!$AE$17,P19,0)&lt;&gt;""," - ",""),OFFSET('Coach Card'!$AE$17,P19,0),IF(OFFSET('Coach Card'!$AF$17,P19,0)&lt;&gt;""," - ",""),OFFSET('Coach Card'!$AF$17,P19,0)))</f>
        <v/>
      </c>
      <c r="L19" s="262"/>
      <c r="M19" s="263"/>
      <c r="N19" s="159" t="str">
        <f ca="1">IF(OFFSET('Coach Card'!$AG$18,P19,0)=0,"",OFFSET('Coach Card'!$AG$18,P19,0))</f>
        <v/>
      </c>
      <c r="O19" s="117"/>
      <c r="P19" s="105">
        <v>10</v>
      </c>
    </row>
    <row r="20" spans="1:16" ht="24.95" customHeight="1" x14ac:dyDescent="0.2">
      <c r="A20" s="156" t="str">
        <f>IFERROR(IF('Coach Card'!D29&lt;&gt;"",IF('Coach Card'!C29&lt;&gt;"",CONCATENATE("0",'Coach Card'!A29,":",IF('Coach Card'!B29&lt;10,CONCATENATE("0",'Coach Card'!B29),'Coach Card'!B29)," - 0",'Coach Card'!C29,":",IF('Coach Card'!D29&lt;10,CONCATENATE("0",'Coach Card'!D29),'Coach Card'!D29)),""),""),"")</f>
        <v/>
      </c>
      <c r="B20" s="156" t="str">
        <f ca="1">IF(OFFSET('Coach Card'!$F$17,P20,0)="Transition","Transition",IF(LEFT(OFFSET('Coach Card'!$F$17,P20,0),4)="Hybr","Hybrid",IF(LEFT(OFFSET('Coach Card'!$F$17,P20,0),4)="Acro","Acrobatic",IF(LEFT(OFFSET('Coach Card'!$F$17,P20,0),4)="Tech","TRE",""))))</f>
        <v/>
      </c>
      <c r="C20" s="259" t="str">
        <f ca="1">IF(OFFSET('Coach Card'!$G$17,P20,0)&gt;0,OFFSET('Coach Card'!$G$17,P20,0),"")</f>
        <v/>
      </c>
      <c r="D20" s="260"/>
      <c r="E20" s="156" t="str">
        <f ca="1">IF(OFFSET('Coach Card'!$H$17,P20,0)&gt;0,OFFSET('Coach Card'!$H$17,P20,0),"")</f>
        <v/>
      </c>
      <c r="F20" s="261" t="str">
        <f ca="1">CONCATENATE(OFFSET('Coach Card'!$J$17,P20,0),IF(OFFSET('Coach Card'!$K$17,P20,0)&lt;&gt;""," - ",""),OFFSET('Coach Card'!$K$17,P20,0),IF(OFFSET('Coach Card'!$L$17,P20,0)&lt;&gt;""," - ",""),OFFSET('Coach Card'!$L$17,P20,0),IF(OFFSET('Coach Card'!$M$17,P20,0)&lt;&gt;""," - ",""),OFFSET('Coach Card'!$M$17,P20,0),IF(OFFSET('Coach Card'!$N$17,P20,0)&lt;&gt;""," - ",""),OFFSET('Coach Card'!$N$17,P20,0),IF(OFFSET('Coach Card'!$O$17,P20,0)&lt;&gt;""," - ",""),OFFSET('Coach Card'!$O$17,P20,0),IF(OFFSET('Coach Card'!$P$17,P20,0)&lt;&gt;""," - ",""),OFFSET('Coach Card'!$P$17,P20,0),IF(OFFSET('Coach Card'!$Q$17,P20,0)&lt;&gt;""," - ",""),OFFSET('Coach Card'!$Q$17,P20,0),IF(OFFSET('Coach Card'!$R$17,P20,0)&lt;&gt;""," - ",""),OFFSET('Coach Card'!$R$17,P20,0),IF(OFFSET('Coach Card'!$S$17,P20,0)&lt;&gt;""," - ",""),OFFSET('Coach Card'!$S$17,P20,0),IF(OFFSET('Coach Card'!$T$17,P20,0)&lt;&gt;""," - ",""),OFFSET('Coach Card'!$T$17,P20,0),IF(OFFSET('Coach Card'!$U$17,P20,0)&lt;&gt;""," - ",""),OFFSET('Coach Card'!$U$17,P20,0),IF(OFFSET('Coach Card'!$V$17,P20,0)&lt;&gt;""," - ",""),OFFSET('Coach Card'!$V$17,P20,0),IF(OFFSET('Coach Card'!$W$17,P20,0)&lt;&gt;""," - ",""),OFFSET('Coach Card'!$W$17,P20,0),IF(OFFSET('Coach Card'!$X$17,P20,0)&lt;&gt;""," - ",""),OFFSET('Coach Card'!$X$17,P20,0),IF(OFFSET('Coach Card'!$Y$17,P20,0)&lt;&gt;""," - ",""),OFFSET('Coach Card'!$Y$17,P20,0),IF(OFFSET('Coach Card'!$Z$17,P20,0)&lt;&gt;""," - ",""),OFFSET('Coach Card'!$Z$17,P20,0),IF(OFFSET('Coach Card'!$AA$17,P20,0)&lt;&gt;""," - ",""),OFFSET('Coach Card'!$AA$17,P20,0),IF(LEFT(E20,4)="Acro",CONCATENATE(" - ",OFFSET('Coach Card'!$AB$17,P20,0),IF(OFFSET('Coach Card'!$AC$17,P20,0)&lt;&gt;""," - ",""),OFFSET('Coach Card'!$AC$17,P20,0),IF(OFFSET('Coach Card'!$AD$17,P20,0)&lt;&gt;""," - ",""),OFFSET('Coach Card'!$AD$17,P20,0),IF(OFFSET('Coach Card'!$AE$17,P20,0)&lt;&gt;""," - ",""),OFFSET('Coach Card'!$AE$17,P20,0),IF(OFFSET('Coach Card'!$AF$17,P20,0)&lt;&gt;""," - ",""),OFFSET('Coach Card'!$AF$17,P20,0)),""))</f>
        <v/>
      </c>
      <c r="G20" s="262"/>
      <c r="H20" s="262"/>
      <c r="I20" s="262"/>
      <c r="J20" s="263"/>
      <c r="K20" s="261" t="str">
        <f ca="1">IF(LEFT(E20,4)="Acro","",CONCATENATE(OFFSET('Coach Card'!$AB$17,P20,0),IF(OFFSET('Coach Card'!$AC$17,P20,0)&lt;&gt;""," - ",""),OFFSET('Coach Card'!$AC$17,P20,0),IF(OFFSET('Coach Card'!$AD$17,P20,0)&lt;&gt;""," - ",""),OFFSET('Coach Card'!$AD$17,P20,0),IF(OFFSET('Coach Card'!$AE$17,P20,0)&lt;&gt;""," - ",""),OFFSET('Coach Card'!$AE$17,P20,0),IF(OFFSET('Coach Card'!$AF$17,P20,0)&lt;&gt;""," - ",""),OFFSET('Coach Card'!$AF$17,P20,0)))</f>
        <v/>
      </c>
      <c r="L20" s="262"/>
      <c r="M20" s="263"/>
      <c r="N20" s="159" t="str">
        <f ca="1">IF(OFFSET('Coach Card'!$AG$18,P20,0)=0,"",OFFSET('Coach Card'!$AG$18,P20,0))</f>
        <v/>
      </c>
      <c r="O20" s="117"/>
      <c r="P20" s="105">
        <v>12</v>
      </c>
    </row>
    <row r="21" spans="1:16" ht="24.95" customHeight="1" x14ac:dyDescent="0.2">
      <c r="A21" s="156" t="str">
        <f>IFERROR(IF('Coach Card'!D31&lt;&gt;"",IF('Coach Card'!C31&lt;&gt;"",CONCATENATE("0",'Coach Card'!A31,":",IF('Coach Card'!B31&lt;10,CONCATENATE("0",'Coach Card'!B31),'Coach Card'!B31)," - 0",'Coach Card'!C31,":",IF('Coach Card'!D31&lt;10,CONCATENATE("0",'Coach Card'!D31),'Coach Card'!D31)),""),""),"")</f>
        <v/>
      </c>
      <c r="B21" s="156" t="str">
        <f ca="1">IF(OFFSET('Coach Card'!$F$17,P21,0)="Transition","Transition",IF(LEFT(OFFSET('Coach Card'!$F$17,P21,0),4)="Hybr","Hybrid",IF(LEFT(OFFSET('Coach Card'!$F$17,P21,0),4)="Acro","Acrobatic",IF(LEFT(OFFSET('Coach Card'!$F$17,P21,0),4)="Tech","TRE",""))))</f>
        <v/>
      </c>
      <c r="C21" s="259" t="str">
        <f ca="1">IF(OFFSET('Coach Card'!$G$17,P21,0)&gt;0,OFFSET('Coach Card'!$G$17,P21,0),"")</f>
        <v/>
      </c>
      <c r="D21" s="260"/>
      <c r="E21" s="156" t="str">
        <f ca="1">IF(OFFSET('Coach Card'!$H$17,P21,0)&gt;0,OFFSET('Coach Card'!$H$17,P21,0),"")</f>
        <v/>
      </c>
      <c r="F21" s="261" t="str">
        <f ca="1">CONCATENATE(OFFSET('Coach Card'!$J$17,P21,0),IF(OFFSET('Coach Card'!$K$17,P21,0)&lt;&gt;""," - ",""),OFFSET('Coach Card'!$K$17,P21,0),IF(OFFSET('Coach Card'!$L$17,P21,0)&lt;&gt;""," - ",""),OFFSET('Coach Card'!$L$17,P21,0),IF(OFFSET('Coach Card'!$M$17,P21,0)&lt;&gt;""," - ",""),OFFSET('Coach Card'!$M$17,P21,0),IF(OFFSET('Coach Card'!$N$17,P21,0)&lt;&gt;""," - ",""),OFFSET('Coach Card'!$N$17,P21,0),IF(OFFSET('Coach Card'!$O$17,P21,0)&lt;&gt;""," - ",""),OFFSET('Coach Card'!$O$17,P21,0),IF(OFFSET('Coach Card'!$P$17,P21,0)&lt;&gt;""," - ",""),OFFSET('Coach Card'!$P$17,P21,0),IF(OFFSET('Coach Card'!$Q$17,P21,0)&lt;&gt;""," - ",""),OFFSET('Coach Card'!$Q$17,P21,0),IF(OFFSET('Coach Card'!$R$17,P21,0)&lt;&gt;""," - ",""),OFFSET('Coach Card'!$R$17,P21,0),IF(OFFSET('Coach Card'!$S$17,P21,0)&lt;&gt;""," - ",""),OFFSET('Coach Card'!$S$17,P21,0),IF(OFFSET('Coach Card'!$T$17,P21,0)&lt;&gt;""," - ",""),OFFSET('Coach Card'!$T$17,P21,0),IF(OFFSET('Coach Card'!$U$17,P21,0)&lt;&gt;""," - ",""),OFFSET('Coach Card'!$U$17,P21,0),IF(OFFSET('Coach Card'!$V$17,P21,0)&lt;&gt;""," - ",""),OFFSET('Coach Card'!$V$17,P21,0),IF(OFFSET('Coach Card'!$W$17,P21,0)&lt;&gt;""," - ",""),OFFSET('Coach Card'!$W$17,P21,0),IF(OFFSET('Coach Card'!$X$17,P21,0)&lt;&gt;""," - ",""),OFFSET('Coach Card'!$X$17,P21,0),IF(OFFSET('Coach Card'!$Y$17,P21,0)&lt;&gt;""," - ",""),OFFSET('Coach Card'!$Y$17,P21,0),IF(OFFSET('Coach Card'!$Z$17,P21,0)&lt;&gt;""," - ",""),OFFSET('Coach Card'!$Z$17,P21,0),IF(OFFSET('Coach Card'!$AA$17,P21,0)&lt;&gt;""," - ",""),OFFSET('Coach Card'!$AA$17,P21,0),IF(LEFT(E21,4)="Acro",CONCATENATE(" - ",OFFSET('Coach Card'!$AB$17,P21,0),IF(OFFSET('Coach Card'!$AC$17,P21,0)&lt;&gt;""," - ",""),OFFSET('Coach Card'!$AC$17,P21,0),IF(OFFSET('Coach Card'!$AD$17,P21,0)&lt;&gt;""," - ",""),OFFSET('Coach Card'!$AD$17,P21,0),IF(OFFSET('Coach Card'!$AE$17,P21,0)&lt;&gt;""," - ",""),OFFSET('Coach Card'!$AE$17,P21,0),IF(OFFSET('Coach Card'!$AF$17,P21,0)&lt;&gt;""," - ",""),OFFSET('Coach Card'!$AF$17,P21,0)),""))</f>
        <v/>
      </c>
      <c r="G21" s="262"/>
      <c r="H21" s="262"/>
      <c r="I21" s="262"/>
      <c r="J21" s="263"/>
      <c r="K21" s="261" t="str">
        <f ca="1">IF(LEFT(E21,4)="Acro","",CONCATENATE(OFFSET('Coach Card'!$AB$17,P21,0),IF(OFFSET('Coach Card'!$AC$17,P21,0)&lt;&gt;""," - ",""),OFFSET('Coach Card'!$AC$17,P21,0),IF(OFFSET('Coach Card'!$AD$17,P21,0)&lt;&gt;""," - ",""),OFFSET('Coach Card'!$AD$17,P21,0),IF(OFFSET('Coach Card'!$AE$17,P21,0)&lt;&gt;""," - ",""),OFFSET('Coach Card'!$AE$17,P21,0),IF(OFFSET('Coach Card'!$AF$17,P21,0)&lt;&gt;""," - ",""),OFFSET('Coach Card'!$AF$17,P21,0)))</f>
        <v/>
      </c>
      <c r="L21" s="262"/>
      <c r="M21" s="263"/>
      <c r="N21" s="159" t="str">
        <f ca="1">IF(OFFSET('Coach Card'!$AG$18,P21,0)=0,"",OFFSET('Coach Card'!$AG$18,P21,0))</f>
        <v/>
      </c>
      <c r="O21" s="117"/>
      <c r="P21" s="105">
        <v>14</v>
      </c>
    </row>
    <row r="22" spans="1:16" ht="24.95" customHeight="1" x14ac:dyDescent="0.2">
      <c r="A22" s="156" t="str">
        <f>IFERROR(IF('Coach Card'!D33&lt;&gt;"",IF('Coach Card'!C33&lt;&gt;"",CONCATENATE("0",'Coach Card'!A33,":",IF('Coach Card'!B33&lt;10,CONCATENATE("0",'Coach Card'!B33),'Coach Card'!B33)," - 0",'Coach Card'!C33,":",IF('Coach Card'!D33&lt;10,CONCATENATE("0",'Coach Card'!D33),'Coach Card'!D33)),""),""),"")</f>
        <v/>
      </c>
      <c r="B22" s="156" t="str">
        <f ca="1">IF(OFFSET('Coach Card'!$F$17,P22,0)="Transition","Transition",IF(LEFT(OFFSET('Coach Card'!$F$17,P22,0),4)="Hybr","Hybrid",IF(LEFT(OFFSET('Coach Card'!$F$17,P22,0),4)="Acro","Acrobatic",IF(LEFT(OFFSET('Coach Card'!$F$17,P22,0),4)="Tech","TRE",""))))</f>
        <v/>
      </c>
      <c r="C22" s="259" t="str">
        <f ca="1">IF(OFFSET('Coach Card'!$G$17,P22,0)&gt;0,OFFSET('Coach Card'!$G$17,P22,0),"")</f>
        <v/>
      </c>
      <c r="D22" s="260"/>
      <c r="E22" s="156" t="str">
        <f ca="1">IF(OFFSET('Coach Card'!$H$17,P22,0)&gt;0,OFFSET('Coach Card'!$H$17,P22,0),"")</f>
        <v/>
      </c>
      <c r="F22" s="261" t="str">
        <f ca="1">CONCATENATE(OFFSET('Coach Card'!$J$17,P22,0),IF(OFFSET('Coach Card'!$K$17,P22,0)&lt;&gt;""," - ",""),OFFSET('Coach Card'!$K$17,P22,0),IF(OFFSET('Coach Card'!$L$17,P22,0)&lt;&gt;""," - ",""),OFFSET('Coach Card'!$L$17,P22,0),IF(OFFSET('Coach Card'!$M$17,P22,0)&lt;&gt;""," - ",""),OFFSET('Coach Card'!$M$17,P22,0),IF(OFFSET('Coach Card'!$N$17,P22,0)&lt;&gt;""," - ",""),OFFSET('Coach Card'!$N$17,P22,0),IF(OFFSET('Coach Card'!$O$17,P22,0)&lt;&gt;""," - ",""),OFFSET('Coach Card'!$O$17,P22,0),IF(OFFSET('Coach Card'!$P$17,P22,0)&lt;&gt;""," - ",""),OFFSET('Coach Card'!$P$17,P22,0),IF(OFFSET('Coach Card'!$Q$17,P22,0)&lt;&gt;""," - ",""),OFFSET('Coach Card'!$Q$17,P22,0),IF(OFFSET('Coach Card'!$R$17,P22,0)&lt;&gt;""," - ",""),OFFSET('Coach Card'!$R$17,P22,0),IF(OFFSET('Coach Card'!$S$17,P22,0)&lt;&gt;""," - ",""),OFFSET('Coach Card'!$S$17,P22,0),IF(OFFSET('Coach Card'!$T$17,P22,0)&lt;&gt;""," - ",""),OFFSET('Coach Card'!$T$17,P22,0),IF(OFFSET('Coach Card'!$U$17,P22,0)&lt;&gt;""," - ",""),OFFSET('Coach Card'!$U$17,P22,0),IF(OFFSET('Coach Card'!$V$17,P22,0)&lt;&gt;""," - ",""),OFFSET('Coach Card'!$V$17,P22,0),IF(OFFSET('Coach Card'!$W$17,P22,0)&lt;&gt;""," - ",""),OFFSET('Coach Card'!$W$17,P22,0),IF(OFFSET('Coach Card'!$X$17,P22,0)&lt;&gt;""," - ",""),OFFSET('Coach Card'!$X$17,P22,0),IF(OFFSET('Coach Card'!$Y$17,P22,0)&lt;&gt;""," - ",""),OFFSET('Coach Card'!$Y$17,P22,0),IF(OFFSET('Coach Card'!$Z$17,P22,0)&lt;&gt;""," - ",""),OFFSET('Coach Card'!$Z$17,P22,0),IF(OFFSET('Coach Card'!$AA$17,P22,0)&lt;&gt;""," - ",""),OFFSET('Coach Card'!$AA$17,P22,0),IF(LEFT(E22,4)="Acro",CONCATENATE(" - ",OFFSET('Coach Card'!$AB$17,P22,0),IF(OFFSET('Coach Card'!$AC$17,P22,0)&lt;&gt;""," - ",""),OFFSET('Coach Card'!$AC$17,P22,0),IF(OFFSET('Coach Card'!$AD$17,P22,0)&lt;&gt;""," - ",""),OFFSET('Coach Card'!$AD$17,P22,0),IF(OFFSET('Coach Card'!$AE$17,P22,0)&lt;&gt;""," - ",""),OFFSET('Coach Card'!$AE$17,P22,0),IF(OFFSET('Coach Card'!$AF$17,P22,0)&lt;&gt;""," - ",""),OFFSET('Coach Card'!$AF$17,P22,0)),""))</f>
        <v/>
      </c>
      <c r="G22" s="262"/>
      <c r="H22" s="262"/>
      <c r="I22" s="262"/>
      <c r="J22" s="263"/>
      <c r="K22" s="261" t="str">
        <f ca="1">IF(LEFT(E22,4)="Acro","",CONCATENATE(OFFSET('Coach Card'!$AB$17,P22,0),IF(OFFSET('Coach Card'!$AC$17,P22,0)&lt;&gt;""," - ",""),OFFSET('Coach Card'!$AC$17,P22,0),IF(OFFSET('Coach Card'!$AD$17,P22,0)&lt;&gt;""," - ",""),OFFSET('Coach Card'!$AD$17,P22,0),IF(OFFSET('Coach Card'!$AE$17,P22,0)&lt;&gt;""," - ",""),OFFSET('Coach Card'!$AE$17,P22,0),IF(OFFSET('Coach Card'!$AF$17,P22,0)&lt;&gt;""," - ",""),OFFSET('Coach Card'!$AF$17,P22,0)))</f>
        <v/>
      </c>
      <c r="L22" s="262"/>
      <c r="M22" s="263"/>
      <c r="N22" s="159" t="str">
        <f ca="1">IF(OFFSET('Coach Card'!$AG$18,P22,0)=0,"",OFFSET('Coach Card'!$AG$18,P22,0))</f>
        <v/>
      </c>
      <c r="O22" s="117"/>
      <c r="P22" s="105">
        <v>16</v>
      </c>
    </row>
    <row r="23" spans="1:16" ht="24.95" customHeight="1" x14ac:dyDescent="0.2">
      <c r="A23" s="156" t="str">
        <f>IFERROR(IF('Coach Card'!D35&lt;&gt;"",IF('Coach Card'!C35&lt;&gt;"",CONCATENATE("0",'Coach Card'!A35,":",IF('Coach Card'!B35&lt;10,CONCATENATE("0",'Coach Card'!B35),'Coach Card'!B35)," - 0",'Coach Card'!C35,":",IF('Coach Card'!D35&lt;10,CONCATENATE("0",'Coach Card'!D35),'Coach Card'!D35)),""),""),"")</f>
        <v/>
      </c>
      <c r="B23" s="156" t="str">
        <f ca="1">IF(OFFSET('Coach Card'!$F$17,P23,0)="Transition","Transition",IF(LEFT(OFFSET('Coach Card'!$F$17,P23,0),4)="Hybr","Hybrid",IF(LEFT(OFFSET('Coach Card'!$F$17,P23,0),4)="Acro","Acrobatic",IF(LEFT(OFFSET('Coach Card'!$F$17,P23,0),4)="Tech","TRE",""))))</f>
        <v/>
      </c>
      <c r="C23" s="259" t="str">
        <f ca="1">IF(OFFSET('Coach Card'!$G$17,P23,0)&gt;0,OFFSET('Coach Card'!$G$17,P23,0),"")</f>
        <v/>
      </c>
      <c r="D23" s="260"/>
      <c r="E23" s="156" t="str">
        <f ca="1">IF(OFFSET('Coach Card'!$H$17,P23,0)&gt;0,OFFSET('Coach Card'!$H$17,P23,0),"")</f>
        <v/>
      </c>
      <c r="F23" s="261" t="str">
        <f ca="1">CONCATENATE(OFFSET('Coach Card'!$J$17,P23,0),IF(OFFSET('Coach Card'!$K$17,P23,0)&lt;&gt;""," - ",""),OFFSET('Coach Card'!$K$17,P23,0),IF(OFFSET('Coach Card'!$L$17,P23,0)&lt;&gt;""," - ",""),OFFSET('Coach Card'!$L$17,P23,0),IF(OFFSET('Coach Card'!$M$17,P23,0)&lt;&gt;""," - ",""),OFFSET('Coach Card'!$M$17,P23,0),IF(OFFSET('Coach Card'!$N$17,P23,0)&lt;&gt;""," - ",""),OFFSET('Coach Card'!$N$17,P23,0),IF(OFFSET('Coach Card'!$O$17,P23,0)&lt;&gt;""," - ",""),OFFSET('Coach Card'!$O$17,P23,0),IF(OFFSET('Coach Card'!$P$17,P23,0)&lt;&gt;""," - ",""),OFFSET('Coach Card'!$P$17,P23,0),IF(OFFSET('Coach Card'!$Q$17,P23,0)&lt;&gt;""," - ",""),OFFSET('Coach Card'!$Q$17,P23,0),IF(OFFSET('Coach Card'!$R$17,P23,0)&lt;&gt;""," - ",""),OFFSET('Coach Card'!$R$17,P23,0),IF(OFFSET('Coach Card'!$S$17,P23,0)&lt;&gt;""," - ",""),OFFSET('Coach Card'!$S$17,P23,0),IF(OFFSET('Coach Card'!$T$17,P23,0)&lt;&gt;""," - ",""),OFFSET('Coach Card'!$T$17,P23,0),IF(OFFSET('Coach Card'!$U$17,P23,0)&lt;&gt;""," - ",""),OFFSET('Coach Card'!$U$17,P23,0),IF(OFFSET('Coach Card'!$V$17,P23,0)&lt;&gt;""," - ",""),OFFSET('Coach Card'!$V$17,P23,0),IF(OFFSET('Coach Card'!$W$17,P23,0)&lt;&gt;""," - ",""),OFFSET('Coach Card'!$W$17,P23,0),IF(OFFSET('Coach Card'!$X$17,P23,0)&lt;&gt;""," - ",""),OFFSET('Coach Card'!$X$17,P23,0),IF(OFFSET('Coach Card'!$Y$17,P23,0)&lt;&gt;""," - ",""),OFFSET('Coach Card'!$Y$17,P23,0),IF(OFFSET('Coach Card'!$Z$17,P23,0)&lt;&gt;""," - ",""),OFFSET('Coach Card'!$Z$17,P23,0),IF(OFFSET('Coach Card'!$AA$17,P23,0)&lt;&gt;""," - ",""),OFFSET('Coach Card'!$AA$17,P23,0),IF(LEFT(E23,4)="Acro",CONCATENATE(" - ",OFFSET('Coach Card'!$AB$17,P23,0),IF(OFFSET('Coach Card'!$AC$17,P23,0)&lt;&gt;""," - ",""),OFFSET('Coach Card'!$AC$17,P23,0),IF(OFFSET('Coach Card'!$AD$17,P23,0)&lt;&gt;""," - ",""),OFFSET('Coach Card'!$AD$17,P23,0),IF(OFFSET('Coach Card'!$AE$17,P23,0)&lt;&gt;""," - ",""),OFFSET('Coach Card'!$AE$17,P23,0),IF(OFFSET('Coach Card'!$AF$17,P23,0)&lt;&gt;""," - ",""),OFFSET('Coach Card'!$AF$17,P23,0)),""))</f>
        <v/>
      </c>
      <c r="G23" s="262"/>
      <c r="H23" s="262"/>
      <c r="I23" s="262"/>
      <c r="J23" s="263"/>
      <c r="K23" s="261" t="str">
        <f ca="1">IF(LEFT(E23,4)="Acro","",CONCATENATE(OFFSET('Coach Card'!$AB$17,P23,0),IF(OFFSET('Coach Card'!$AC$17,P23,0)&lt;&gt;""," - ",""),OFFSET('Coach Card'!$AC$17,P23,0),IF(OFFSET('Coach Card'!$AD$17,P23,0)&lt;&gt;""," - ",""),OFFSET('Coach Card'!$AD$17,P23,0),IF(OFFSET('Coach Card'!$AE$17,P23,0)&lt;&gt;""," - ",""),OFFSET('Coach Card'!$AE$17,P23,0),IF(OFFSET('Coach Card'!$AF$17,P23,0)&lt;&gt;""," - ",""),OFFSET('Coach Card'!$AF$17,P23,0)))</f>
        <v/>
      </c>
      <c r="L23" s="262"/>
      <c r="M23" s="263"/>
      <c r="N23" s="159" t="str">
        <f ca="1">IF(OFFSET('Coach Card'!$AG$18,P23,0)=0,"",OFFSET('Coach Card'!$AG$18,P23,0))</f>
        <v/>
      </c>
      <c r="O23" s="117"/>
      <c r="P23" s="105">
        <v>18</v>
      </c>
    </row>
    <row r="24" spans="1:16" ht="24.95" customHeight="1" x14ac:dyDescent="0.25">
      <c r="A24" s="156" t="str">
        <f>IFERROR(IF('Coach Card'!D37&lt;&gt;"",IF('Coach Card'!C37&lt;&gt;"",CONCATENATE("0",'Coach Card'!A37,":",IF('Coach Card'!B37&lt;10,CONCATENATE("0",'Coach Card'!B37),'Coach Card'!B37)," - 0",'Coach Card'!C37,":",IF('Coach Card'!D37&lt;10,CONCATENATE("0",'Coach Card'!D37),'Coach Card'!D37)),""),""),"")</f>
        <v/>
      </c>
      <c r="B24" s="156" t="str">
        <f ca="1">IF(OFFSET('Coach Card'!$F$17,P24,0)="Transition","Transition",IF(LEFT(OFFSET('Coach Card'!$F$17,P24,0),4)="Hybr","Hybrid",IF(LEFT(OFFSET('Coach Card'!$F$17,P24,0),4)="Acro","Acrobatic",IF(LEFT(OFFSET('Coach Card'!$F$17,P24,0),4)="Tech","TRE",""))))</f>
        <v/>
      </c>
      <c r="C24" s="259" t="str">
        <f ca="1">IF(OFFSET('Coach Card'!$G$17,P24,0)&gt;0,OFFSET('Coach Card'!$G$17,P24,0),"")</f>
        <v/>
      </c>
      <c r="D24" s="260"/>
      <c r="E24" s="156" t="str">
        <f ca="1">IF(OFFSET('Coach Card'!$H$17,P24,0)&gt;0,OFFSET('Coach Card'!$H$17,P24,0),"")</f>
        <v/>
      </c>
      <c r="F24" s="261" t="str">
        <f ca="1">CONCATENATE(OFFSET('Coach Card'!$J$17,P24,0),IF(OFFSET('Coach Card'!$K$17,P24,0)&lt;&gt;""," - ",""),OFFSET('Coach Card'!$K$17,P24,0),IF(OFFSET('Coach Card'!$L$17,P24,0)&lt;&gt;""," - ",""),OFFSET('Coach Card'!$L$17,P24,0),IF(OFFSET('Coach Card'!$M$17,P24,0)&lt;&gt;""," - ",""),OFFSET('Coach Card'!$M$17,P24,0),IF(OFFSET('Coach Card'!$N$17,P24,0)&lt;&gt;""," - ",""),OFFSET('Coach Card'!$N$17,P24,0),IF(OFFSET('Coach Card'!$O$17,P24,0)&lt;&gt;""," - ",""),OFFSET('Coach Card'!$O$17,P24,0),IF(OFFSET('Coach Card'!$P$17,P24,0)&lt;&gt;""," - ",""),OFFSET('Coach Card'!$P$17,P24,0),IF(OFFSET('Coach Card'!$Q$17,P24,0)&lt;&gt;""," - ",""),OFFSET('Coach Card'!$Q$17,P24,0),IF(OFFSET('Coach Card'!$R$17,P24,0)&lt;&gt;""," - ",""),OFFSET('Coach Card'!$R$17,P24,0),IF(OFFSET('Coach Card'!$S$17,P24,0)&lt;&gt;""," - ",""),OFFSET('Coach Card'!$S$17,P24,0),IF(OFFSET('Coach Card'!$T$17,P24,0)&lt;&gt;""," - ",""),OFFSET('Coach Card'!$T$17,P24,0),IF(OFFSET('Coach Card'!$U$17,P24,0)&lt;&gt;""," - ",""),OFFSET('Coach Card'!$U$17,P24,0),IF(OFFSET('Coach Card'!$V$17,P24,0)&lt;&gt;""," - ",""),OFFSET('Coach Card'!$V$17,P24,0),IF(OFFSET('Coach Card'!$W$17,P24,0)&lt;&gt;""," - ",""),OFFSET('Coach Card'!$W$17,P24,0),IF(OFFSET('Coach Card'!$X$17,P24,0)&lt;&gt;""," - ",""),OFFSET('Coach Card'!$X$17,P24,0),IF(OFFSET('Coach Card'!$Y$17,P24,0)&lt;&gt;""," - ",""),OFFSET('Coach Card'!$Y$17,P24,0),IF(OFFSET('Coach Card'!$Z$17,P24,0)&lt;&gt;""," - ",""),OFFSET('Coach Card'!$Z$17,P24,0),IF(OFFSET('Coach Card'!$AA$17,P24,0)&lt;&gt;""," - ",""),OFFSET('Coach Card'!$AA$17,P24,0),IF(LEFT(E24,4)="Acro",CONCATENATE(" - ",OFFSET('Coach Card'!$AB$17,P24,0),IF(OFFSET('Coach Card'!$AC$17,P24,0)&lt;&gt;""," - ",""),OFFSET('Coach Card'!$AC$17,P24,0),IF(OFFSET('Coach Card'!$AD$17,P24,0)&lt;&gt;""," - ",""),OFFSET('Coach Card'!$AD$17,P24,0),IF(OFFSET('Coach Card'!$AE$17,P24,0)&lt;&gt;""," - ",""),OFFSET('Coach Card'!$AE$17,P24,0),IF(OFFSET('Coach Card'!$AF$17,P24,0)&lt;&gt;""," - ",""),OFFSET('Coach Card'!$AF$17,P24,0)),""))</f>
        <v/>
      </c>
      <c r="G24" s="262"/>
      <c r="H24" s="262"/>
      <c r="I24" s="262"/>
      <c r="J24" s="263"/>
      <c r="K24" s="261" t="str">
        <f ca="1">IF(LEFT(E24,4)="Acro","",CONCATENATE(OFFSET('Coach Card'!$AB$17,P24,0),IF(OFFSET('Coach Card'!$AC$17,P24,0)&lt;&gt;""," - ",""),OFFSET('Coach Card'!$AC$17,P24,0),IF(OFFSET('Coach Card'!$AD$17,P24,0)&lt;&gt;""," - ",""),OFFSET('Coach Card'!$AD$17,P24,0),IF(OFFSET('Coach Card'!$AE$17,P24,0)&lt;&gt;""," - ",""),OFFSET('Coach Card'!$AE$17,P24,0),IF(OFFSET('Coach Card'!$AF$17,P24,0)&lt;&gt;""," - ",""),OFFSET('Coach Card'!$AF$17,P24,0)))</f>
        <v/>
      </c>
      <c r="L24" s="262"/>
      <c r="M24" s="263"/>
      <c r="N24" s="159" t="str">
        <f ca="1">IF(OFFSET('Coach Card'!$AG$18,P24,0)=0,"",OFFSET('Coach Card'!$AG$18,P24,0))</f>
        <v/>
      </c>
      <c r="O24" s="117"/>
      <c r="P24" s="105">
        <v>20</v>
      </c>
    </row>
    <row r="25" spans="1:16" ht="24.95" customHeight="1" x14ac:dyDescent="0.25">
      <c r="A25" s="156" t="str">
        <f>IFERROR(IF('Coach Card'!D39&lt;&gt;"",IF('Coach Card'!C39&lt;&gt;"",CONCATENATE("0",'Coach Card'!A39,":",IF('Coach Card'!B39&lt;10,CONCATENATE("0",'Coach Card'!B39),'Coach Card'!B39)," - 0",'Coach Card'!C39,":",IF('Coach Card'!D39&lt;10,CONCATENATE("0",'Coach Card'!D39),'Coach Card'!D39)),""),""),"")</f>
        <v/>
      </c>
      <c r="B25" s="156" t="str">
        <f ca="1">IF(OFFSET('Coach Card'!$F$17,P25,0)="Transition","Transition",IF(LEFT(OFFSET('Coach Card'!$F$17,P25,0),4)="Hybr","Hybrid",IF(LEFT(OFFSET('Coach Card'!$F$17,P25,0),4)="Acro","Acrobatic",IF(LEFT(OFFSET('Coach Card'!$F$17,P25,0),4)="Tech","TRE",""))))</f>
        <v/>
      </c>
      <c r="C25" s="259" t="str">
        <f ca="1">IF(OFFSET('Coach Card'!$G$17,P25,0)&gt;0,OFFSET('Coach Card'!$G$17,P25,0),"")</f>
        <v/>
      </c>
      <c r="D25" s="260"/>
      <c r="E25" s="156" t="str">
        <f ca="1">IF(OFFSET('Coach Card'!$H$17,P25,0)&gt;0,OFFSET('Coach Card'!$H$17,P25,0),"")</f>
        <v/>
      </c>
      <c r="F25" s="261" t="str">
        <f ca="1">CONCATENATE(OFFSET('Coach Card'!$J$17,P25,0),IF(OFFSET('Coach Card'!$K$17,P25,0)&lt;&gt;""," - ",""),OFFSET('Coach Card'!$K$17,P25,0),IF(OFFSET('Coach Card'!$L$17,P25,0)&lt;&gt;""," - ",""),OFFSET('Coach Card'!$L$17,P25,0),IF(OFFSET('Coach Card'!$M$17,P25,0)&lt;&gt;""," - ",""),OFFSET('Coach Card'!$M$17,P25,0),IF(OFFSET('Coach Card'!$N$17,P25,0)&lt;&gt;""," - ",""),OFFSET('Coach Card'!$N$17,P25,0),IF(OFFSET('Coach Card'!$O$17,P25,0)&lt;&gt;""," - ",""),OFFSET('Coach Card'!$O$17,P25,0),IF(OFFSET('Coach Card'!$P$17,P25,0)&lt;&gt;""," - ",""),OFFSET('Coach Card'!$P$17,P25,0),IF(OFFSET('Coach Card'!$Q$17,P25,0)&lt;&gt;""," - ",""),OFFSET('Coach Card'!$Q$17,P25,0),IF(OFFSET('Coach Card'!$R$17,P25,0)&lt;&gt;""," - ",""),OFFSET('Coach Card'!$R$17,P25,0),IF(OFFSET('Coach Card'!$S$17,P25,0)&lt;&gt;""," - ",""),OFFSET('Coach Card'!$S$17,P25,0),IF(OFFSET('Coach Card'!$T$17,P25,0)&lt;&gt;""," - ",""),OFFSET('Coach Card'!$T$17,P25,0),IF(OFFSET('Coach Card'!$U$17,P25,0)&lt;&gt;""," - ",""),OFFSET('Coach Card'!$U$17,P25,0),IF(OFFSET('Coach Card'!$V$17,P25,0)&lt;&gt;""," - ",""),OFFSET('Coach Card'!$V$17,P25,0),IF(OFFSET('Coach Card'!$W$17,P25,0)&lt;&gt;""," - ",""),OFFSET('Coach Card'!$W$17,P25,0),IF(OFFSET('Coach Card'!$X$17,P25,0)&lt;&gt;""," - ",""),OFFSET('Coach Card'!$X$17,P25,0),IF(OFFSET('Coach Card'!$Y$17,P25,0)&lt;&gt;""," - ",""),OFFSET('Coach Card'!$Y$17,P25,0),IF(OFFSET('Coach Card'!$Z$17,P25,0)&lt;&gt;""," - ",""),OFFSET('Coach Card'!$Z$17,P25,0),IF(OFFSET('Coach Card'!$AA$17,P25,0)&lt;&gt;""," - ",""),OFFSET('Coach Card'!$AA$17,P25,0),IF(LEFT(E25,4)="Acro",CONCATENATE(" - ",OFFSET('Coach Card'!$AB$17,P25,0),IF(OFFSET('Coach Card'!$AC$17,P25,0)&lt;&gt;""," - ",""),OFFSET('Coach Card'!$AC$17,P25,0),IF(OFFSET('Coach Card'!$AD$17,P25,0)&lt;&gt;""," - ",""),OFFSET('Coach Card'!$AD$17,P25,0),IF(OFFSET('Coach Card'!$AE$17,P25,0)&lt;&gt;""," - ",""),OFFSET('Coach Card'!$AE$17,P25,0),IF(OFFSET('Coach Card'!$AF$17,P25,0)&lt;&gt;""," - ",""),OFFSET('Coach Card'!$AF$17,P25,0)),""))</f>
        <v/>
      </c>
      <c r="G25" s="262"/>
      <c r="H25" s="262"/>
      <c r="I25" s="262"/>
      <c r="J25" s="263"/>
      <c r="K25" s="261" t="str">
        <f ca="1">IF(LEFT(E25,4)="Acro","",CONCATENATE(OFFSET('Coach Card'!$AB$17,P25,0),IF(OFFSET('Coach Card'!$AC$17,P25,0)&lt;&gt;""," - ",""),OFFSET('Coach Card'!$AC$17,P25,0),IF(OFFSET('Coach Card'!$AD$17,P25,0)&lt;&gt;""," - ",""),OFFSET('Coach Card'!$AD$17,P25,0),IF(OFFSET('Coach Card'!$AE$17,P25,0)&lt;&gt;""," - ",""),OFFSET('Coach Card'!$AE$17,P25,0),IF(OFFSET('Coach Card'!$AF$17,P25,0)&lt;&gt;""," - ",""),OFFSET('Coach Card'!$AF$17,P25,0)))</f>
        <v/>
      </c>
      <c r="L25" s="262"/>
      <c r="M25" s="263"/>
      <c r="N25" s="159" t="str">
        <f ca="1">IF(OFFSET('Coach Card'!$AG$18,P25,0)=0,"",OFFSET('Coach Card'!$AG$18,P25,0))</f>
        <v/>
      </c>
      <c r="O25" s="117"/>
      <c r="P25" s="105">
        <v>22</v>
      </c>
    </row>
    <row r="26" spans="1:16" ht="24.95" customHeight="1" x14ac:dyDescent="0.25">
      <c r="A26" s="156" t="str">
        <f>IFERROR(IF('Coach Card'!D41&lt;&gt;"",IF('Coach Card'!C41&lt;&gt;"",CONCATENATE("0",'Coach Card'!A41,":",IF('Coach Card'!B41&lt;10,CONCATENATE("0",'Coach Card'!B41),'Coach Card'!B41)," - 0",'Coach Card'!C41,":",IF('Coach Card'!D41&lt;10,CONCATENATE("0",'Coach Card'!D41),'Coach Card'!D41)),""),""),"")</f>
        <v/>
      </c>
      <c r="B26" s="156" t="str">
        <f ca="1">IF(OFFSET('Coach Card'!$F$17,P26,0)="Transition","Transition",IF(LEFT(OFFSET('Coach Card'!$F$17,P26,0),4)="Hybr","Hybrid",IF(LEFT(OFFSET('Coach Card'!$F$17,P26,0),4)="Acro","Acrobatic",IF(LEFT(OFFSET('Coach Card'!$F$17,P26,0),4)="Tech","TRE",""))))</f>
        <v/>
      </c>
      <c r="C26" s="259" t="str">
        <f ca="1">IF(OFFSET('Coach Card'!$G$17,P26,0)&gt;0,OFFSET('Coach Card'!$G$17,P26,0),"")</f>
        <v/>
      </c>
      <c r="D26" s="260"/>
      <c r="E26" s="156" t="str">
        <f ca="1">IF(OFFSET('Coach Card'!$H$17,P26,0)&gt;0,OFFSET('Coach Card'!$H$17,P26,0),"")</f>
        <v/>
      </c>
      <c r="F26" s="261" t="str">
        <f ca="1">CONCATENATE(OFFSET('Coach Card'!$J$17,P26,0),IF(OFFSET('Coach Card'!$K$17,P26,0)&lt;&gt;""," - ",""),OFFSET('Coach Card'!$K$17,P26,0),IF(OFFSET('Coach Card'!$L$17,P26,0)&lt;&gt;""," - ",""),OFFSET('Coach Card'!$L$17,P26,0),IF(OFFSET('Coach Card'!$M$17,P26,0)&lt;&gt;""," - ",""),OFFSET('Coach Card'!$M$17,P26,0),IF(OFFSET('Coach Card'!$N$17,P26,0)&lt;&gt;""," - ",""),OFFSET('Coach Card'!$N$17,P26,0),IF(OFFSET('Coach Card'!$O$17,P26,0)&lt;&gt;""," - ",""),OFFSET('Coach Card'!$O$17,P26,0),IF(OFFSET('Coach Card'!$P$17,P26,0)&lt;&gt;""," - ",""),OFFSET('Coach Card'!$P$17,P26,0),IF(OFFSET('Coach Card'!$Q$17,P26,0)&lt;&gt;""," - ",""),OFFSET('Coach Card'!$Q$17,P26,0),IF(OFFSET('Coach Card'!$R$17,P26,0)&lt;&gt;""," - ",""),OFFSET('Coach Card'!$R$17,P26,0),IF(OFFSET('Coach Card'!$S$17,P26,0)&lt;&gt;""," - ",""),OFFSET('Coach Card'!$S$17,P26,0),IF(OFFSET('Coach Card'!$T$17,P26,0)&lt;&gt;""," - ",""),OFFSET('Coach Card'!$T$17,P26,0),IF(OFFSET('Coach Card'!$U$17,P26,0)&lt;&gt;""," - ",""),OFFSET('Coach Card'!$U$17,P26,0),IF(OFFSET('Coach Card'!$V$17,P26,0)&lt;&gt;""," - ",""),OFFSET('Coach Card'!$V$17,P26,0),IF(OFFSET('Coach Card'!$W$17,P26,0)&lt;&gt;""," - ",""),OFFSET('Coach Card'!$W$17,P26,0),IF(OFFSET('Coach Card'!$X$17,P26,0)&lt;&gt;""," - ",""),OFFSET('Coach Card'!$X$17,P26,0),IF(OFFSET('Coach Card'!$Y$17,P26,0)&lt;&gt;""," - ",""),OFFSET('Coach Card'!$Y$17,P26,0),IF(OFFSET('Coach Card'!$Z$17,P26,0)&lt;&gt;""," - ",""),OFFSET('Coach Card'!$Z$17,P26,0),IF(OFFSET('Coach Card'!$AA$17,P26,0)&lt;&gt;""," - ",""),OFFSET('Coach Card'!$AA$17,P26,0),IF(LEFT(E26,4)="Acro",CONCATENATE(" - ",OFFSET('Coach Card'!$AB$17,P26,0),IF(OFFSET('Coach Card'!$AC$17,P26,0)&lt;&gt;""," - ",""),OFFSET('Coach Card'!$AC$17,P26,0),IF(OFFSET('Coach Card'!$AD$17,P26,0)&lt;&gt;""," - ",""),OFFSET('Coach Card'!$AD$17,P26,0),IF(OFFSET('Coach Card'!$AE$17,P26,0)&lt;&gt;""," - ",""),OFFSET('Coach Card'!$AE$17,P26,0),IF(OFFSET('Coach Card'!$AF$17,P26,0)&lt;&gt;""," - ",""),OFFSET('Coach Card'!$AF$17,P26,0)),""))</f>
        <v/>
      </c>
      <c r="G26" s="262"/>
      <c r="H26" s="262"/>
      <c r="I26" s="262"/>
      <c r="J26" s="263"/>
      <c r="K26" s="261" t="str">
        <f ca="1">IF(LEFT(E26,4)="Acro","",CONCATENATE(OFFSET('Coach Card'!$AB$17,P26,0),IF(OFFSET('Coach Card'!$AC$17,P26,0)&lt;&gt;""," - ",""),OFFSET('Coach Card'!$AC$17,P26,0),IF(OFFSET('Coach Card'!$AD$17,P26,0)&lt;&gt;""," - ",""),OFFSET('Coach Card'!$AD$17,P26,0),IF(OFFSET('Coach Card'!$AE$17,P26,0)&lt;&gt;""," - ",""),OFFSET('Coach Card'!$AE$17,P26,0),IF(OFFSET('Coach Card'!$AF$17,P26,0)&lt;&gt;""," - ",""),OFFSET('Coach Card'!$AF$17,P26,0)))</f>
        <v/>
      </c>
      <c r="L26" s="262"/>
      <c r="M26" s="263"/>
      <c r="N26" s="159" t="str">
        <f ca="1">IF(OFFSET('Coach Card'!$AG$18,P26,0)=0,"",OFFSET('Coach Card'!$AG$18,P26,0))</f>
        <v/>
      </c>
      <c r="O26" s="117"/>
      <c r="P26" s="105">
        <v>24</v>
      </c>
    </row>
    <row r="27" spans="1:16" ht="24.95" customHeight="1" x14ac:dyDescent="0.25">
      <c r="A27" s="156" t="str">
        <f>IFERROR(IF('Coach Card'!D43&lt;&gt;"",IF('Coach Card'!C43&lt;&gt;"",CONCATENATE("0",'Coach Card'!A43,":",IF('Coach Card'!B43&lt;10,CONCATENATE("0",'Coach Card'!B43),'Coach Card'!B43)," - 0",'Coach Card'!C43,":",IF('Coach Card'!D43&lt;10,CONCATENATE("0",'Coach Card'!D43),'Coach Card'!D43)),""),""),"")</f>
        <v/>
      </c>
      <c r="B27" s="156" t="str">
        <f ca="1">IF(OFFSET('Coach Card'!$F$17,P27,0)="Transition","Transition",IF(LEFT(OFFSET('Coach Card'!$F$17,P27,0),4)="Hybr","Hybrid",IF(LEFT(OFFSET('Coach Card'!$F$17,P27,0),4)="Acro","Acrobatic",IF(LEFT(OFFSET('Coach Card'!$F$17,P27,0),4)="Tech","TRE",""))))</f>
        <v/>
      </c>
      <c r="C27" s="259" t="str">
        <f ca="1">IF(OFFSET('Coach Card'!$G$17,P27,0)&gt;0,OFFSET('Coach Card'!$G$17,P27,0),"")</f>
        <v/>
      </c>
      <c r="D27" s="260"/>
      <c r="E27" s="156" t="str">
        <f ca="1">IF(OFFSET('Coach Card'!$H$17,P27,0)&gt;0,OFFSET('Coach Card'!$H$17,P27,0),"")</f>
        <v/>
      </c>
      <c r="F27" s="261" t="str">
        <f ca="1">CONCATENATE(OFFSET('Coach Card'!$J$17,P27,0),IF(OFFSET('Coach Card'!$K$17,P27,0)&lt;&gt;""," - ",""),OFFSET('Coach Card'!$K$17,P27,0),IF(OFFSET('Coach Card'!$L$17,P27,0)&lt;&gt;""," - ",""),OFFSET('Coach Card'!$L$17,P27,0),IF(OFFSET('Coach Card'!$M$17,P27,0)&lt;&gt;""," - ",""),OFFSET('Coach Card'!$M$17,P27,0),IF(OFFSET('Coach Card'!$N$17,P27,0)&lt;&gt;""," - ",""),OFFSET('Coach Card'!$N$17,P27,0),IF(OFFSET('Coach Card'!$O$17,P27,0)&lt;&gt;""," - ",""),OFFSET('Coach Card'!$O$17,P27,0),IF(OFFSET('Coach Card'!$P$17,P27,0)&lt;&gt;""," - ",""),OFFSET('Coach Card'!$P$17,P27,0),IF(OFFSET('Coach Card'!$Q$17,P27,0)&lt;&gt;""," - ",""),OFFSET('Coach Card'!$Q$17,P27,0),IF(OFFSET('Coach Card'!$R$17,P27,0)&lt;&gt;""," - ",""),OFFSET('Coach Card'!$R$17,P27,0),IF(OFFSET('Coach Card'!$S$17,P27,0)&lt;&gt;""," - ",""),OFFSET('Coach Card'!$S$17,P27,0),IF(OFFSET('Coach Card'!$T$17,P27,0)&lt;&gt;""," - ",""),OFFSET('Coach Card'!$T$17,P27,0),IF(OFFSET('Coach Card'!$U$17,P27,0)&lt;&gt;""," - ",""),OFFSET('Coach Card'!$U$17,P27,0),IF(OFFSET('Coach Card'!$V$17,P27,0)&lt;&gt;""," - ",""),OFFSET('Coach Card'!$V$17,P27,0),IF(OFFSET('Coach Card'!$W$17,P27,0)&lt;&gt;""," - ",""),OFFSET('Coach Card'!$W$17,P27,0),IF(OFFSET('Coach Card'!$X$17,P27,0)&lt;&gt;""," - ",""),OFFSET('Coach Card'!$X$17,P27,0),IF(OFFSET('Coach Card'!$Y$17,P27,0)&lt;&gt;""," - ",""),OFFSET('Coach Card'!$Y$17,P27,0),IF(OFFSET('Coach Card'!$Z$17,P27,0)&lt;&gt;""," - ",""),OFFSET('Coach Card'!$Z$17,P27,0),IF(OFFSET('Coach Card'!$AA$17,P27,0)&lt;&gt;""," - ",""),OFFSET('Coach Card'!$AA$17,P27,0),IF(LEFT(E27,4)="Acro",CONCATENATE(" - ",OFFSET('Coach Card'!$AB$17,P27,0),IF(OFFSET('Coach Card'!$AC$17,P27,0)&lt;&gt;""," - ",""),OFFSET('Coach Card'!$AC$17,P27,0),IF(OFFSET('Coach Card'!$AD$17,P27,0)&lt;&gt;""," - ",""),OFFSET('Coach Card'!$AD$17,P27,0),IF(OFFSET('Coach Card'!$AE$17,P27,0)&lt;&gt;""," - ",""),OFFSET('Coach Card'!$AE$17,P27,0),IF(OFFSET('Coach Card'!$AF$17,P27,0)&lt;&gt;""," - ",""),OFFSET('Coach Card'!$AF$17,P27,0)),""))</f>
        <v/>
      </c>
      <c r="G27" s="262"/>
      <c r="H27" s="262"/>
      <c r="I27" s="262"/>
      <c r="J27" s="263"/>
      <c r="K27" s="261" t="str">
        <f ca="1">IF(LEFT(E27,4)="Acro","",CONCATENATE(OFFSET('Coach Card'!$AB$17,P27,0),IF(OFFSET('Coach Card'!$AC$17,P27,0)&lt;&gt;""," - ",""),OFFSET('Coach Card'!$AC$17,P27,0),IF(OFFSET('Coach Card'!$AD$17,P27,0)&lt;&gt;""," - ",""),OFFSET('Coach Card'!$AD$17,P27,0),IF(OFFSET('Coach Card'!$AE$17,P27,0)&lt;&gt;""," - ",""),OFFSET('Coach Card'!$AE$17,P27,0),IF(OFFSET('Coach Card'!$AF$17,P27,0)&lt;&gt;""," - ",""),OFFSET('Coach Card'!$AF$17,P27,0)))</f>
        <v/>
      </c>
      <c r="L27" s="262"/>
      <c r="M27" s="263"/>
      <c r="N27" s="159" t="str">
        <f ca="1">IF(OFFSET('Coach Card'!$AG$18,P27,0)=0,"",OFFSET('Coach Card'!$AG$18,P27,0))</f>
        <v/>
      </c>
      <c r="O27" s="117"/>
      <c r="P27" s="105">
        <v>26</v>
      </c>
    </row>
    <row r="28" spans="1:16" ht="24.95" customHeight="1" x14ac:dyDescent="0.25">
      <c r="A28" s="156" t="str">
        <f>IFERROR(IF('Coach Card'!D45&lt;&gt;"",IF('Coach Card'!C45&lt;&gt;"",CONCATENATE("0",'Coach Card'!A45,":",IF('Coach Card'!B45&lt;10,CONCATENATE("0",'Coach Card'!B45),'Coach Card'!B45)," - 0",'Coach Card'!C45,":",IF('Coach Card'!D45&lt;10,CONCATENATE("0",'Coach Card'!D45),'Coach Card'!D45)),""),""),"")</f>
        <v/>
      </c>
      <c r="B28" s="156" t="str">
        <f ca="1">IF(OFFSET('Coach Card'!$F$17,P28,0)="Transition","Transition",IF(LEFT(OFFSET('Coach Card'!$F$17,P28,0),4)="Hybr","Hybrid",IF(LEFT(OFFSET('Coach Card'!$F$17,P28,0),4)="Acro","Acrobatic",IF(LEFT(OFFSET('Coach Card'!$F$17,P28,0),4)="Tech","TRE",""))))</f>
        <v/>
      </c>
      <c r="C28" s="259" t="str">
        <f ca="1">IF(OFFSET('Coach Card'!$G$17,P28,0)&gt;0,OFFSET('Coach Card'!$G$17,P28,0),"")</f>
        <v/>
      </c>
      <c r="D28" s="260"/>
      <c r="E28" s="156" t="str">
        <f ca="1">IF(OFFSET('Coach Card'!$H$17,P28,0)&gt;0,OFFSET('Coach Card'!$H$17,P28,0),"")</f>
        <v/>
      </c>
      <c r="F28" s="261" t="str">
        <f ca="1">CONCATENATE(OFFSET('Coach Card'!$J$17,P28,0),IF(OFFSET('Coach Card'!$K$17,P28,0)&lt;&gt;""," - ",""),OFFSET('Coach Card'!$K$17,P28,0),IF(OFFSET('Coach Card'!$L$17,P28,0)&lt;&gt;""," - ",""),OFFSET('Coach Card'!$L$17,P28,0),IF(OFFSET('Coach Card'!$M$17,P28,0)&lt;&gt;""," - ",""),OFFSET('Coach Card'!$M$17,P28,0),IF(OFFSET('Coach Card'!$N$17,P28,0)&lt;&gt;""," - ",""),OFFSET('Coach Card'!$N$17,P28,0),IF(OFFSET('Coach Card'!$O$17,P28,0)&lt;&gt;""," - ",""),OFFSET('Coach Card'!$O$17,P28,0),IF(OFFSET('Coach Card'!$P$17,P28,0)&lt;&gt;""," - ",""),OFFSET('Coach Card'!$P$17,P28,0),IF(OFFSET('Coach Card'!$Q$17,P28,0)&lt;&gt;""," - ",""),OFFSET('Coach Card'!$Q$17,P28,0),IF(OFFSET('Coach Card'!$R$17,P28,0)&lt;&gt;""," - ",""),OFFSET('Coach Card'!$R$17,P28,0),IF(OFFSET('Coach Card'!$S$17,P28,0)&lt;&gt;""," - ",""),OFFSET('Coach Card'!$S$17,P28,0),IF(OFFSET('Coach Card'!$T$17,P28,0)&lt;&gt;""," - ",""),OFFSET('Coach Card'!$T$17,P28,0),IF(OFFSET('Coach Card'!$U$17,P28,0)&lt;&gt;""," - ",""),OFFSET('Coach Card'!$U$17,P28,0),IF(OFFSET('Coach Card'!$V$17,P28,0)&lt;&gt;""," - ",""),OFFSET('Coach Card'!$V$17,P28,0),IF(OFFSET('Coach Card'!$W$17,P28,0)&lt;&gt;""," - ",""),OFFSET('Coach Card'!$W$17,P28,0),IF(OFFSET('Coach Card'!$X$17,P28,0)&lt;&gt;""," - ",""),OFFSET('Coach Card'!$X$17,P28,0),IF(OFFSET('Coach Card'!$Y$17,P28,0)&lt;&gt;""," - ",""),OFFSET('Coach Card'!$Y$17,P28,0),IF(OFFSET('Coach Card'!$Z$17,P28,0)&lt;&gt;""," - ",""),OFFSET('Coach Card'!$Z$17,P28,0),IF(OFFSET('Coach Card'!$AA$17,P28,0)&lt;&gt;""," - ",""),OFFSET('Coach Card'!$AA$17,P28,0),IF(LEFT(E28,4)="Acro",CONCATENATE(" - ",OFFSET('Coach Card'!$AB$17,P28,0),IF(OFFSET('Coach Card'!$AC$17,P28,0)&lt;&gt;""," - ",""),OFFSET('Coach Card'!$AC$17,P28,0),IF(OFFSET('Coach Card'!$AD$17,P28,0)&lt;&gt;""," - ",""),OFFSET('Coach Card'!$AD$17,P28,0),IF(OFFSET('Coach Card'!$AE$17,P28,0)&lt;&gt;""," - ",""),OFFSET('Coach Card'!$AE$17,P28,0),IF(OFFSET('Coach Card'!$AF$17,P28,0)&lt;&gt;""," - ",""),OFFSET('Coach Card'!$AF$17,P28,0)),""))</f>
        <v/>
      </c>
      <c r="G28" s="262"/>
      <c r="H28" s="262"/>
      <c r="I28" s="262"/>
      <c r="J28" s="263"/>
      <c r="K28" s="261" t="str">
        <f ca="1">IF(LEFT(E28,4)="Acro","",CONCATENATE(OFFSET('Coach Card'!$AB$17,P28,0),IF(OFFSET('Coach Card'!$AC$17,P28,0)&lt;&gt;""," - ",""),OFFSET('Coach Card'!$AC$17,P28,0),IF(OFFSET('Coach Card'!$AD$17,P28,0)&lt;&gt;""," - ",""),OFFSET('Coach Card'!$AD$17,P28,0),IF(OFFSET('Coach Card'!$AE$17,P28,0)&lt;&gt;""," - ",""),OFFSET('Coach Card'!$AE$17,P28,0),IF(OFFSET('Coach Card'!$AF$17,P28,0)&lt;&gt;""," - ",""),OFFSET('Coach Card'!$AF$17,P28,0)))</f>
        <v/>
      </c>
      <c r="L28" s="262"/>
      <c r="M28" s="263"/>
      <c r="N28" s="159" t="str">
        <f ca="1">IF(OFFSET('Coach Card'!$AG$18,P28,0)=0,"",OFFSET('Coach Card'!$AG$18,P28,0))</f>
        <v/>
      </c>
      <c r="O28" s="117"/>
      <c r="P28" s="105">
        <v>28</v>
      </c>
    </row>
    <row r="29" spans="1:16" ht="24.95" customHeight="1" x14ac:dyDescent="0.25">
      <c r="A29" s="156" t="str">
        <f>IFERROR(IF('Coach Card'!D47&lt;&gt;"",IF('Coach Card'!C47&lt;&gt;"",CONCATENATE("0",'Coach Card'!A47,":",IF('Coach Card'!B47&lt;10,CONCATENATE("0",'Coach Card'!B47),'Coach Card'!B47)," - 0",'Coach Card'!C47,":",IF('Coach Card'!D47&lt;10,CONCATENATE("0",'Coach Card'!D47),'Coach Card'!D47)),""),""),"")</f>
        <v/>
      </c>
      <c r="B29" s="156" t="str">
        <f ca="1">IF(OFFSET('Coach Card'!$F$17,P29,0)="Transition","Transition",IF(LEFT(OFFSET('Coach Card'!$F$17,P29,0),4)="Hybr","Hybrid",IF(LEFT(OFFSET('Coach Card'!$F$17,P29,0),4)="Acro","Acrobatic",IF(LEFT(OFFSET('Coach Card'!$F$17,P29,0),4)="Tech","TRE",""))))</f>
        <v/>
      </c>
      <c r="C29" s="259" t="str">
        <f ca="1">IF(OFFSET('Coach Card'!$G$17,P29,0)&gt;0,OFFSET('Coach Card'!$G$17,P29,0),"")</f>
        <v/>
      </c>
      <c r="D29" s="260"/>
      <c r="E29" s="156" t="str">
        <f ca="1">IF(OFFSET('Coach Card'!$H$17,P29,0)&gt;0,OFFSET('Coach Card'!$H$17,P29,0),"")</f>
        <v/>
      </c>
      <c r="F29" s="261" t="str">
        <f ca="1">CONCATENATE(OFFSET('Coach Card'!$J$17,P29,0),IF(OFFSET('Coach Card'!$K$17,P29,0)&lt;&gt;""," - ",""),OFFSET('Coach Card'!$K$17,P29,0),IF(OFFSET('Coach Card'!$L$17,P29,0)&lt;&gt;""," - ",""),OFFSET('Coach Card'!$L$17,P29,0),IF(OFFSET('Coach Card'!$M$17,P29,0)&lt;&gt;""," - ",""),OFFSET('Coach Card'!$M$17,P29,0),IF(OFFSET('Coach Card'!$N$17,P29,0)&lt;&gt;""," - ",""),OFFSET('Coach Card'!$N$17,P29,0),IF(OFFSET('Coach Card'!$O$17,P29,0)&lt;&gt;""," - ",""),OFFSET('Coach Card'!$O$17,P29,0),IF(OFFSET('Coach Card'!$P$17,P29,0)&lt;&gt;""," - ",""),OFFSET('Coach Card'!$P$17,P29,0),IF(OFFSET('Coach Card'!$Q$17,P29,0)&lt;&gt;""," - ",""),OFFSET('Coach Card'!$Q$17,P29,0),IF(OFFSET('Coach Card'!$R$17,P29,0)&lt;&gt;""," - ",""),OFFSET('Coach Card'!$R$17,P29,0),IF(OFFSET('Coach Card'!$S$17,P29,0)&lt;&gt;""," - ",""),OFFSET('Coach Card'!$S$17,P29,0),IF(OFFSET('Coach Card'!$T$17,P29,0)&lt;&gt;""," - ",""),OFFSET('Coach Card'!$T$17,P29,0),IF(OFFSET('Coach Card'!$U$17,P29,0)&lt;&gt;""," - ",""),OFFSET('Coach Card'!$U$17,P29,0),IF(OFFSET('Coach Card'!$V$17,P29,0)&lt;&gt;""," - ",""),OFFSET('Coach Card'!$V$17,P29,0),IF(OFFSET('Coach Card'!$W$17,P29,0)&lt;&gt;""," - ",""),OFFSET('Coach Card'!$W$17,P29,0),IF(OFFSET('Coach Card'!$X$17,P29,0)&lt;&gt;""," - ",""),OFFSET('Coach Card'!$X$17,P29,0),IF(OFFSET('Coach Card'!$Y$17,P29,0)&lt;&gt;""," - ",""),OFFSET('Coach Card'!$Y$17,P29,0),IF(OFFSET('Coach Card'!$Z$17,P29,0)&lt;&gt;""," - ",""),OFFSET('Coach Card'!$Z$17,P29,0),IF(OFFSET('Coach Card'!$AA$17,P29,0)&lt;&gt;""," - ",""),OFFSET('Coach Card'!$AA$17,P29,0),IF(LEFT(E29,4)="Acro",CONCATENATE(" - ",OFFSET('Coach Card'!$AB$17,P29,0),IF(OFFSET('Coach Card'!$AC$17,P29,0)&lt;&gt;""," - ",""),OFFSET('Coach Card'!$AC$17,P29,0),IF(OFFSET('Coach Card'!$AD$17,P29,0)&lt;&gt;""," - ",""),OFFSET('Coach Card'!$AD$17,P29,0),IF(OFFSET('Coach Card'!$AE$17,P29,0)&lt;&gt;""," - ",""),OFFSET('Coach Card'!$AE$17,P29,0),IF(OFFSET('Coach Card'!$AF$17,P29,0)&lt;&gt;""," - ",""),OFFSET('Coach Card'!$AF$17,P29,0)),""))</f>
        <v/>
      </c>
      <c r="G29" s="262"/>
      <c r="H29" s="262"/>
      <c r="I29" s="262"/>
      <c r="J29" s="263"/>
      <c r="K29" s="261" t="str">
        <f ca="1">IF(LEFT(E29,4)="Acro","",CONCATENATE(OFFSET('Coach Card'!$AB$17,P29,0),IF(OFFSET('Coach Card'!$AC$17,P29,0)&lt;&gt;""," - ",""),OFFSET('Coach Card'!$AC$17,P29,0),IF(OFFSET('Coach Card'!$AD$17,P29,0)&lt;&gt;""," - ",""),OFFSET('Coach Card'!$AD$17,P29,0),IF(OFFSET('Coach Card'!$AE$17,P29,0)&lt;&gt;""," - ",""),OFFSET('Coach Card'!$AE$17,P29,0),IF(OFFSET('Coach Card'!$AF$17,P29,0)&lt;&gt;""," - ",""),OFFSET('Coach Card'!$AF$17,P29,0)))</f>
        <v/>
      </c>
      <c r="L29" s="262"/>
      <c r="M29" s="263"/>
      <c r="N29" s="159" t="str">
        <f ca="1">IF(OFFSET('Coach Card'!$AG$18,P29,0)=0,"",OFFSET('Coach Card'!$AG$18,P29,0))</f>
        <v/>
      </c>
      <c r="O29" s="117"/>
      <c r="P29" s="105">
        <v>30</v>
      </c>
    </row>
    <row r="30" spans="1:16" ht="24.95" customHeight="1" x14ac:dyDescent="0.25">
      <c r="A30" s="156" t="str">
        <f>IFERROR(IF('Coach Card'!D49&lt;&gt;"",IF('Coach Card'!C49&lt;&gt;"",CONCATENATE("0",'Coach Card'!A49,":",IF('Coach Card'!B49&lt;10,CONCATENATE("0",'Coach Card'!B49),'Coach Card'!B49)," - 0",'Coach Card'!C49,":",IF('Coach Card'!D49&lt;10,CONCATENATE("0",'Coach Card'!D49),'Coach Card'!D49)),""),""),"")</f>
        <v/>
      </c>
      <c r="B30" s="156" t="str">
        <f ca="1">IF(OFFSET('Coach Card'!$F$17,P30,0)="Transition","Transition",IF(LEFT(OFFSET('Coach Card'!$F$17,P30,0),4)="Hybr","Hybrid",IF(LEFT(OFFSET('Coach Card'!$F$17,P30,0),4)="Acro","Acrobatic",IF(LEFT(OFFSET('Coach Card'!$F$17,P30,0),4)="Tech","TRE",""))))</f>
        <v/>
      </c>
      <c r="C30" s="259" t="str">
        <f ca="1">IF(OFFSET('Coach Card'!$G$17,P30,0)&gt;0,OFFSET('Coach Card'!$G$17,P30,0),"")</f>
        <v/>
      </c>
      <c r="D30" s="260"/>
      <c r="E30" s="156" t="str">
        <f ca="1">IF(OFFSET('Coach Card'!$H$17,P30,0)&gt;0,OFFSET('Coach Card'!$H$17,P30,0),"")</f>
        <v/>
      </c>
      <c r="F30" s="261" t="str">
        <f ca="1">CONCATENATE(OFFSET('Coach Card'!$J$17,P30,0),IF(OFFSET('Coach Card'!$K$17,P30,0)&lt;&gt;""," - ",""),OFFSET('Coach Card'!$K$17,P30,0),IF(OFFSET('Coach Card'!$L$17,P30,0)&lt;&gt;""," - ",""),OFFSET('Coach Card'!$L$17,P30,0),IF(OFFSET('Coach Card'!$M$17,P30,0)&lt;&gt;""," - ",""),OFFSET('Coach Card'!$M$17,P30,0),IF(OFFSET('Coach Card'!$N$17,P30,0)&lt;&gt;""," - ",""),OFFSET('Coach Card'!$N$17,P30,0),IF(OFFSET('Coach Card'!$O$17,P30,0)&lt;&gt;""," - ",""),OFFSET('Coach Card'!$O$17,P30,0),IF(OFFSET('Coach Card'!$P$17,P30,0)&lt;&gt;""," - ",""),OFFSET('Coach Card'!$P$17,P30,0),IF(OFFSET('Coach Card'!$Q$17,P30,0)&lt;&gt;""," - ",""),OFFSET('Coach Card'!$Q$17,P30,0),IF(OFFSET('Coach Card'!$R$17,P30,0)&lt;&gt;""," - ",""),OFFSET('Coach Card'!$R$17,P30,0),IF(OFFSET('Coach Card'!$S$17,P30,0)&lt;&gt;""," - ",""),OFFSET('Coach Card'!$S$17,P30,0),IF(OFFSET('Coach Card'!$T$17,P30,0)&lt;&gt;""," - ",""),OFFSET('Coach Card'!$T$17,P30,0),IF(OFFSET('Coach Card'!$U$17,P30,0)&lt;&gt;""," - ",""),OFFSET('Coach Card'!$U$17,P30,0),IF(OFFSET('Coach Card'!$V$17,P30,0)&lt;&gt;""," - ",""),OFFSET('Coach Card'!$V$17,P30,0),IF(OFFSET('Coach Card'!$W$17,P30,0)&lt;&gt;""," - ",""),OFFSET('Coach Card'!$W$17,P30,0),IF(OFFSET('Coach Card'!$X$17,P30,0)&lt;&gt;""," - ",""),OFFSET('Coach Card'!$X$17,P30,0),IF(OFFSET('Coach Card'!$Y$17,P30,0)&lt;&gt;""," - ",""),OFFSET('Coach Card'!$Y$17,P30,0),IF(OFFSET('Coach Card'!$Z$17,P30,0)&lt;&gt;""," - ",""),OFFSET('Coach Card'!$Z$17,P30,0),IF(OFFSET('Coach Card'!$AA$17,P30,0)&lt;&gt;""," - ",""),OFFSET('Coach Card'!$AA$17,P30,0),IF(LEFT(E30,4)="Acro",CONCATENATE(" - ",OFFSET('Coach Card'!$AB$17,P30,0),IF(OFFSET('Coach Card'!$AC$17,P30,0)&lt;&gt;""," - ",""),OFFSET('Coach Card'!$AC$17,P30,0),IF(OFFSET('Coach Card'!$AD$17,P30,0)&lt;&gt;""," - ",""),OFFSET('Coach Card'!$AD$17,P30,0),IF(OFFSET('Coach Card'!$AE$17,P30,0)&lt;&gt;""," - ",""),OFFSET('Coach Card'!$AE$17,P30,0),IF(OFFSET('Coach Card'!$AF$17,P30,0)&lt;&gt;""," - ",""),OFFSET('Coach Card'!$AF$17,P30,0)),""))</f>
        <v/>
      </c>
      <c r="G30" s="262"/>
      <c r="H30" s="262"/>
      <c r="I30" s="262"/>
      <c r="J30" s="263"/>
      <c r="K30" s="261" t="str">
        <f ca="1">IF(LEFT(E30,4)="Acro","",CONCATENATE(OFFSET('Coach Card'!$AB$17,P30,0),IF(OFFSET('Coach Card'!$AC$17,P30,0)&lt;&gt;""," - ",""),OFFSET('Coach Card'!$AC$17,P30,0),IF(OFFSET('Coach Card'!$AD$17,P30,0)&lt;&gt;""," - ",""),OFFSET('Coach Card'!$AD$17,P30,0),IF(OFFSET('Coach Card'!$AE$17,P30,0)&lt;&gt;""," - ",""),OFFSET('Coach Card'!$AE$17,P30,0),IF(OFFSET('Coach Card'!$AF$17,P30,0)&lt;&gt;""," - ",""),OFFSET('Coach Card'!$AF$17,P30,0)))</f>
        <v/>
      </c>
      <c r="L30" s="262"/>
      <c r="M30" s="263"/>
      <c r="N30" s="159" t="str">
        <f ca="1">IF(OFFSET('Coach Card'!$AG$18,P30,0)=0,"",OFFSET('Coach Card'!$AG$18,P30,0))</f>
        <v/>
      </c>
      <c r="O30" s="117"/>
      <c r="P30" s="105">
        <v>32</v>
      </c>
    </row>
    <row r="31" spans="1:16" ht="24.95" customHeight="1" x14ac:dyDescent="0.25">
      <c r="A31" s="156" t="str">
        <f>IFERROR(IF('Coach Card'!D51&lt;&gt;"",IF('Coach Card'!C51&lt;&gt;"",CONCATENATE("0",'Coach Card'!A51,":",IF('Coach Card'!B51&lt;10,CONCATENATE("0",'Coach Card'!B51),'Coach Card'!B51)," - 0",'Coach Card'!C51,":",IF('Coach Card'!D51&lt;10,CONCATENATE("0",'Coach Card'!D51),'Coach Card'!D51)),""),""),"")</f>
        <v/>
      </c>
      <c r="B31" s="156" t="str">
        <f ca="1">IF(OFFSET('Coach Card'!$F$17,P31,0)="Transition","Transition",IF(LEFT(OFFSET('Coach Card'!$F$17,P31,0),4)="Hybr","Hybrid",IF(LEFT(OFFSET('Coach Card'!$F$17,P31,0),4)="Acro","Acrobatic",IF(LEFT(OFFSET('Coach Card'!$F$17,P31,0),4)="Tech","TRE",""))))</f>
        <v/>
      </c>
      <c r="C31" s="259" t="str">
        <f ca="1">IF(OFFSET('Coach Card'!$G$17,P31,0)&gt;0,OFFSET('Coach Card'!$G$17,P31,0),"")</f>
        <v/>
      </c>
      <c r="D31" s="260"/>
      <c r="E31" s="156" t="str">
        <f ca="1">IF(OFFSET('Coach Card'!$H$17,P31,0)&gt;0,OFFSET('Coach Card'!$H$17,P31,0),"")</f>
        <v/>
      </c>
      <c r="F31" s="261" t="str">
        <f ca="1">CONCATENATE(OFFSET('Coach Card'!$J$17,P31,0),IF(OFFSET('Coach Card'!$K$17,P31,0)&lt;&gt;""," - ",""),OFFSET('Coach Card'!$K$17,P31,0),IF(OFFSET('Coach Card'!$L$17,P31,0)&lt;&gt;""," - ",""),OFFSET('Coach Card'!$L$17,P31,0),IF(OFFSET('Coach Card'!$M$17,P31,0)&lt;&gt;""," - ",""),OFFSET('Coach Card'!$M$17,P31,0),IF(OFFSET('Coach Card'!$N$17,P31,0)&lt;&gt;""," - ",""),OFFSET('Coach Card'!$N$17,P31,0),IF(OFFSET('Coach Card'!$O$17,P31,0)&lt;&gt;""," - ",""),OFFSET('Coach Card'!$O$17,P31,0),IF(OFFSET('Coach Card'!$P$17,P31,0)&lt;&gt;""," - ",""),OFFSET('Coach Card'!$P$17,P31,0),IF(OFFSET('Coach Card'!$Q$17,P31,0)&lt;&gt;""," - ",""),OFFSET('Coach Card'!$Q$17,P31,0),IF(OFFSET('Coach Card'!$R$17,P31,0)&lt;&gt;""," - ",""),OFFSET('Coach Card'!$R$17,P31,0),IF(OFFSET('Coach Card'!$S$17,P31,0)&lt;&gt;""," - ",""),OFFSET('Coach Card'!$S$17,P31,0),IF(OFFSET('Coach Card'!$T$17,P31,0)&lt;&gt;""," - ",""),OFFSET('Coach Card'!$T$17,P31,0),IF(OFFSET('Coach Card'!$U$17,P31,0)&lt;&gt;""," - ",""),OFFSET('Coach Card'!$U$17,P31,0),IF(OFFSET('Coach Card'!$V$17,P31,0)&lt;&gt;""," - ",""),OFFSET('Coach Card'!$V$17,P31,0),IF(OFFSET('Coach Card'!$W$17,P31,0)&lt;&gt;""," - ",""),OFFSET('Coach Card'!$W$17,P31,0),IF(OFFSET('Coach Card'!$X$17,P31,0)&lt;&gt;""," - ",""),OFFSET('Coach Card'!$X$17,P31,0),IF(OFFSET('Coach Card'!$Y$17,P31,0)&lt;&gt;""," - ",""),OFFSET('Coach Card'!$Y$17,P31,0),IF(OFFSET('Coach Card'!$Z$17,P31,0)&lt;&gt;""," - ",""),OFFSET('Coach Card'!$Z$17,P31,0),IF(OFFSET('Coach Card'!$AA$17,P31,0)&lt;&gt;""," - ",""),OFFSET('Coach Card'!$AA$17,P31,0),IF(LEFT(E31,4)="Acro",CONCATENATE(" - ",OFFSET('Coach Card'!$AB$17,P31,0),IF(OFFSET('Coach Card'!$AC$17,P31,0)&lt;&gt;""," - ",""),OFFSET('Coach Card'!$AC$17,P31,0),IF(OFFSET('Coach Card'!$AD$17,P31,0)&lt;&gt;""," - ",""),OFFSET('Coach Card'!$AD$17,P31,0),IF(OFFSET('Coach Card'!$AE$17,P31,0)&lt;&gt;""," - ",""),OFFSET('Coach Card'!$AE$17,P31,0),IF(OFFSET('Coach Card'!$AF$17,P31,0)&lt;&gt;""," - ",""),OFFSET('Coach Card'!$AF$17,P31,0)),""))</f>
        <v/>
      </c>
      <c r="G31" s="262"/>
      <c r="H31" s="262"/>
      <c r="I31" s="262"/>
      <c r="J31" s="263"/>
      <c r="K31" s="261" t="str">
        <f ca="1">IF(LEFT(E31,4)="Acro","",CONCATENATE(OFFSET('Coach Card'!$AB$17,P31,0),IF(OFFSET('Coach Card'!$AC$17,P31,0)&lt;&gt;""," - ",""),OFFSET('Coach Card'!$AC$17,P31,0),IF(OFFSET('Coach Card'!$AD$17,P31,0)&lt;&gt;""," - ",""),OFFSET('Coach Card'!$AD$17,P31,0),IF(OFFSET('Coach Card'!$AE$17,P31,0)&lt;&gt;""," - ",""),OFFSET('Coach Card'!$AE$17,P31,0),IF(OFFSET('Coach Card'!$AF$17,P31,0)&lt;&gt;""," - ",""),OFFSET('Coach Card'!$AF$17,P31,0)))</f>
        <v/>
      </c>
      <c r="L31" s="262"/>
      <c r="M31" s="263"/>
      <c r="N31" s="159" t="str">
        <f ca="1">IF(OFFSET('Coach Card'!$AG$18,P31,0)=0,"",OFFSET('Coach Card'!$AG$18,P31,0))</f>
        <v/>
      </c>
      <c r="O31" s="117"/>
      <c r="P31" s="105">
        <v>34</v>
      </c>
    </row>
    <row r="32" spans="1:16" ht="24.95" customHeight="1" x14ac:dyDescent="0.25">
      <c r="A32" s="156" t="str">
        <f>IFERROR(IF('Coach Card'!D53&lt;&gt;"",IF('Coach Card'!C53&lt;&gt;"",CONCATENATE("0",'Coach Card'!A53,":",IF('Coach Card'!B53&lt;10,CONCATENATE("0",'Coach Card'!B53),'Coach Card'!B53)," - 0",'Coach Card'!C53,":",IF('Coach Card'!D53&lt;10,CONCATENATE("0",'Coach Card'!D53),'Coach Card'!D53)),""),""),"")</f>
        <v/>
      </c>
      <c r="B32" s="156" t="str">
        <f ca="1">IF(OFFSET('Coach Card'!$F$17,P32,0)="Transition","Transition",IF(LEFT(OFFSET('Coach Card'!$F$17,P32,0),4)="Hybr","Hybrid",IF(LEFT(OFFSET('Coach Card'!$F$17,P32,0),4)="Acro","Acrobatic",IF(LEFT(OFFSET('Coach Card'!$F$17,P32,0),4)="Tech","TRE",""))))</f>
        <v/>
      </c>
      <c r="C32" s="259" t="str">
        <f ca="1">IF(OFFSET('Coach Card'!$G$17,P32,0)&gt;0,OFFSET('Coach Card'!$G$17,P32,0),"")</f>
        <v/>
      </c>
      <c r="D32" s="260"/>
      <c r="E32" s="156" t="str">
        <f ca="1">IF(OFFSET('Coach Card'!$H$17,P32,0)&gt;0,OFFSET('Coach Card'!$H$17,P32,0),"")</f>
        <v/>
      </c>
      <c r="F32" s="261" t="str">
        <f ca="1">CONCATENATE(OFFSET('Coach Card'!$J$17,P32,0),IF(OFFSET('Coach Card'!$K$17,P32,0)&lt;&gt;""," - ",""),OFFSET('Coach Card'!$K$17,P32,0),IF(OFFSET('Coach Card'!$L$17,P32,0)&lt;&gt;""," - ",""),OFFSET('Coach Card'!$L$17,P32,0),IF(OFFSET('Coach Card'!$M$17,P32,0)&lt;&gt;""," - ",""),OFFSET('Coach Card'!$M$17,P32,0),IF(OFFSET('Coach Card'!$N$17,P32,0)&lt;&gt;""," - ",""),OFFSET('Coach Card'!$N$17,P32,0),IF(OFFSET('Coach Card'!$O$17,P32,0)&lt;&gt;""," - ",""),OFFSET('Coach Card'!$O$17,P32,0),IF(OFFSET('Coach Card'!$P$17,P32,0)&lt;&gt;""," - ",""),OFFSET('Coach Card'!$P$17,P32,0),IF(OFFSET('Coach Card'!$Q$17,P32,0)&lt;&gt;""," - ",""),OFFSET('Coach Card'!$Q$17,P32,0),IF(OFFSET('Coach Card'!$R$17,P32,0)&lt;&gt;""," - ",""),OFFSET('Coach Card'!$R$17,P32,0),IF(OFFSET('Coach Card'!$S$17,P32,0)&lt;&gt;""," - ",""),OFFSET('Coach Card'!$S$17,P32,0),IF(OFFSET('Coach Card'!$T$17,P32,0)&lt;&gt;""," - ",""),OFFSET('Coach Card'!$T$17,P32,0),IF(OFFSET('Coach Card'!$U$17,P32,0)&lt;&gt;""," - ",""),OFFSET('Coach Card'!$U$17,P32,0),IF(OFFSET('Coach Card'!$V$17,P32,0)&lt;&gt;""," - ",""),OFFSET('Coach Card'!$V$17,P32,0),IF(OFFSET('Coach Card'!$W$17,P32,0)&lt;&gt;""," - ",""),OFFSET('Coach Card'!$W$17,P32,0),IF(OFFSET('Coach Card'!$X$17,P32,0)&lt;&gt;""," - ",""),OFFSET('Coach Card'!$X$17,P32,0),IF(OFFSET('Coach Card'!$Y$17,P32,0)&lt;&gt;""," - ",""),OFFSET('Coach Card'!$Y$17,P32,0),IF(OFFSET('Coach Card'!$Z$17,P32,0)&lt;&gt;""," - ",""),OFFSET('Coach Card'!$Z$17,P32,0),IF(OFFSET('Coach Card'!$AA$17,P32,0)&lt;&gt;""," - ",""),OFFSET('Coach Card'!$AA$17,P32,0),IF(LEFT(E32,4)="Acro",CONCATENATE(" - ",OFFSET('Coach Card'!$AB$17,P32,0),IF(OFFSET('Coach Card'!$AC$17,P32,0)&lt;&gt;""," - ",""),OFFSET('Coach Card'!$AC$17,P32,0),IF(OFFSET('Coach Card'!$AD$17,P32,0)&lt;&gt;""," - ",""),OFFSET('Coach Card'!$AD$17,P32,0),IF(OFFSET('Coach Card'!$AE$17,P32,0)&lt;&gt;""," - ",""),OFFSET('Coach Card'!$AE$17,P32,0),IF(OFFSET('Coach Card'!$AF$17,P32,0)&lt;&gt;""," - ",""),OFFSET('Coach Card'!$AF$17,P32,0)),""))</f>
        <v/>
      </c>
      <c r="G32" s="262"/>
      <c r="H32" s="262"/>
      <c r="I32" s="262"/>
      <c r="J32" s="263"/>
      <c r="K32" s="261" t="str">
        <f ca="1">IF(LEFT(E32,4)="Acro","",CONCATENATE(OFFSET('Coach Card'!$AB$17,P32,0),IF(OFFSET('Coach Card'!$AC$17,P32,0)&lt;&gt;""," - ",""),OFFSET('Coach Card'!$AC$17,P32,0),IF(OFFSET('Coach Card'!$AD$17,P32,0)&lt;&gt;""," - ",""),OFFSET('Coach Card'!$AD$17,P32,0),IF(OFFSET('Coach Card'!$AE$17,P32,0)&lt;&gt;""," - ",""),OFFSET('Coach Card'!$AE$17,P32,0),IF(OFFSET('Coach Card'!$AF$17,P32,0)&lt;&gt;""," - ",""),OFFSET('Coach Card'!$AF$17,P32,0)))</f>
        <v/>
      </c>
      <c r="L32" s="262"/>
      <c r="M32" s="263"/>
      <c r="N32" s="159" t="str">
        <f ca="1">IF(OFFSET('Coach Card'!$AG$18,P32,0)=0,"",OFFSET('Coach Card'!$AG$18,P32,0))</f>
        <v/>
      </c>
      <c r="O32" s="117"/>
      <c r="P32" s="105">
        <v>36</v>
      </c>
    </row>
    <row r="33" spans="1:16" ht="24.95" customHeight="1" x14ac:dyDescent="0.25">
      <c r="A33" s="156" t="str">
        <f>IFERROR(IF('Coach Card'!D55&lt;&gt;"",IF('Coach Card'!C55&lt;&gt;"",CONCATENATE("0",'Coach Card'!A55,":",IF('Coach Card'!B55&lt;10,CONCATENATE("0",'Coach Card'!B55),'Coach Card'!B55)," - 0",'Coach Card'!C55,":",IF('Coach Card'!D55&lt;10,CONCATENATE("0",'Coach Card'!D55),'Coach Card'!D55)),""),""),"")</f>
        <v/>
      </c>
      <c r="B33" s="156" t="str">
        <f ca="1">IF(OFFSET('Coach Card'!$F$17,P33,0)="Transition","Transition",IF(LEFT(OFFSET('Coach Card'!$F$17,P33,0),4)="Hybr","Hybrid",IF(LEFT(OFFSET('Coach Card'!$F$17,P33,0),4)="Acro","Acrobatic",IF(LEFT(OFFSET('Coach Card'!$F$17,P33,0),4)="Tech","TRE",""))))</f>
        <v/>
      </c>
      <c r="C33" s="259" t="str">
        <f ca="1">IF(OFFSET('Coach Card'!$G$17,P33,0)&gt;0,OFFSET('Coach Card'!$G$17,P33,0),"")</f>
        <v/>
      </c>
      <c r="D33" s="260"/>
      <c r="E33" s="156" t="str">
        <f ca="1">IF(OFFSET('Coach Card'!$H$17,P33,0)&gt;0,OFFSET('Coach Card'!$H$17,P33,0),"")</f>
        <v/>
      </c>
      <c r="F33" s="261" t="str">
        <f ca="1">CONCATENATE(OFFSET('Coach Card'!$J$17,P33,0),IF(OFFSET('Coach Card'!$K$17,P33,0)&lt;&gt;""," - ",""),OFFSET('Coach Card'!$K$17,P33,0),IF(OFFSET('Coach Card'!$L$17,P33,0)&lt;&gt;""," - ",""),OFFSET('Coach Card'!$L$17,P33,0),IF(OFFSET('Coach Card'!$M$17,P33,0)&lt;&gt;""," - ",""),OFFSET('Coach Card'!$M$17,P33,0),IF(OFFSET('Coach Card'!$N$17,P33,0)&lt;&gt;""," - ",""),OFFSET('Coach Card'!$N$17,P33,0),IF(OFFSET('Coach Card'!$O$17,P33,0)&lt;&gt;""," - ",""),OFFSET('Coach Card'!$O$17,P33,0),IF(OFFSET('Coach Card'!$P$17,P33,0)&lt;&gt;""," - ",""),OFFSET('Coach Card'!$P$17,P33,0),IF(OFFSET('Coach Card'!$Q$17,P33,0)&lt;&gt;""," - ",""),OFFSET('Coach Card'!$Q$17,P33,0),IF(OFFSET('Coach Card'!$R$17,P33,0)&lt;&gt;""," - ",""),OFFSET('Coach Card'!$R$17,P33,0),IF(OFFSET('Coach Card'!$S$17,P33,0)&lt;&gt;""," - ",""),OFFSET('Coach Card'!$S$17,P33,0),IF(OFFSET('Coach Card'!$T$17,P33,0)&lt;&gt;""," - ",""),OFFSET('Coach Card'!$T$17,P33,0),IF(OFFSET('Coach Card'!$U$17,P33,0)&lt;&gt;""," - ",""),OFFSET('Coach Card'!$U$17,P33,0),IF(OFFSET('Coach Card'!$V$17,P33,0)&lt;&gt;""," - ",""),OFFSET('Coach Card'!$V$17,P33,0),IF(OFFSET('Coach Card'!$W$17,P33,0)&lt;&gt;""," - ",""),OFFSET('Coach Card'!$W$17,P33,0),IF(OFFSET('Coach Card'!$X$17,P33,0)&lt;&gt;""," - ",""),OFFSET('Coach Card'!$X$17,P33,0),IF(OFFSET('Coach Card'!$Y$17,P33,0)&lt;&gt;""," - ",""),OFFSET('Coach Card'!$Y$17,P33,0),IF(OFFSET('Coach Card'!$Z$17,P33,0)&lt;&gt;""," - ",""),OFFSET('Coach Card'!$Z$17,P33,0),IF(OFFSET('Coach Card'!$AA$17,P33,0)&lt;&gt;""," - ",""),OFFSET('Coach Card'!$AA$17,P33,0),IF(LEFT(E33,4)="Acro",CONCATENATE(" - ",OFFSET('Coach Card'!$AB$17,P33,0),IF(OFFSET('Coach Card'!$AC$17,P33,0)&lt;&gt;""," - ",""),OFFSET('Coach Card'!$AC$17,P33,0),IF(OFFSET('Coach Card'!$AD$17,P33,0)&lt;&gt;""," - ",""),OFFSET('Coach Card'!$AD$17,P33,0),IF(OFFSET('Coach Card'!$AE$17,P33,0)&lt;&gt;""," - ",""),OFFSET('Coach Card'!$AE$17,P33,0),IF(OFFSET('Coach Card'!$AF$17,P33,0)&lt;&gt;""," - ",""),OFFSET('Coach Card'!$AF$17,P33,0)),""))</f>
        <v/>
      </c>
      <c r="G33" s="262"/>
      <c r="H33" s="262"/>
      <c r="I33" s="262"/>
      <c r="J33" s="263"/>
      <c r="K33" s="261" t="str">
        <f ca="1">IF(LEFT(E33,4)="Acro","",CONCATENATE(OFFSET('Coach Card'!$AB$17,P33,0),IF(OFFSET('Coach Card'!$AC$17,P33,0)&lt;&gt;""," - ",""),OFFSET('Coach Card'!$AC$17,P33,0),IF(OFFSET('Coach Card'!$AD$17,P33,0)&lt;&gt;""," - ",""),OFFSET('Coach Card'!$AD$17,P33,0),IF(OFFSET('Coach Card'!$AE$17,P33,0)&lt;&gt;""," - ",""),OFFSET('Coach Card'!$AE$17,P33,0),IF(OFFSET('Coach Card'!$AF$17,P33,0)&lt;&gt;""," - ",""),OFFSET('Coach Card'!$AF$17,P33,0)))</f>
        <v/>
      </c>
      <c r="L33" s="262"/>
      <c r="M33" s="263"/>
      <c r="N33" s="159" t="str">
        <f ca="1">IF(OFFSET('Coach Card'!$AG$18,P33,0)=0,"",OFFSET('Coach Card'!$AG$18,P33,0))</f>
        <v/>
      </c>
      <c r="O33" s="117"/>
      <c r="P33" s="105">
        <v>38</v>
      </c>
    </row>
    <row r="34" spans="1:16" ht="24.95" customHeight="1" x14ac:dyDescent="0.25">
      <c r="A34" s="156" t="str">
        <f>IFERROR(IF('Coach Card'!D57&lt;&gt;"",IF('Coach Card'!C57&lt;&gt;"",CONCATENATE("0",'Coach Card'!A57,":",IF('Coach Card'!B57&lt;10,CONCATENATE("0",'Coach Card'!B57),'Coach Card'!B57)," - 0",'Coach Card'!C57,":",IF('Coach Card'!D57&lt;10,CONCATENATE("0",'Coach Card'!D57),'Coach Card'!D57)),""),""),"")</f>
        <v/>
      </c>
      <c r="B34" s="156" t="str">
        <f ca="1">IF(OFFSET('Coach Card'!$F$17,P34,0)="Transition","Transition",IF(LEFT(OFFSET('Coach Card'!$F$17,P34,0),4)="Hybr","Hybrid",IF(LEFT(OFFSET('Coach Card'!$F$17,P34,0),4)="Acro","Acrobatic",IF(LEFT(OFFSET('Coach Card'!$F$17,P34,0),4)="Tech","TRE",""))))</f>
        <v/>
      </c>
      <c r="C34" s="259" t="str">
        <f ca="1">IF(OFFSET('Coach Card'!$G$17,P34,0)&gt;0,OFFSET('Coach Card'!$G$17,P34,0),"")</f>
        <v/>
      </c>
      <c r="D34" s="260"/>
      <c r="E34" s="156" t="str">
        <f ca="1">IF(OFFSET('Coach Card'!$H$17,P34,0)&gt;0,OFFSET('Coach Card'!$H$17,P34,0),"")</f>
        <v/>
      </c>
      <c r="F34" s="261" t="str">
        <f ca="1">CONCATENATE(OFFSET('Coach Card'!$J$17,P34,0),IF(OFFSET('Coach Card'!$K$17,P34,0)&lt;&gt;""," - ",""),OFFSET('Coach Card'!$K$17,P34,0),IF(OFFSET('Coach Card'!$L$17,P34,0)&lt;&gt;""," - ",""),OFFSET('Coach Card'!$L$17,P34,0),IF(OFFSET('Coach Card'!$M$17,P34,0)&lt;&gt;""," - ",""),OFFSET('Coach Card'!$M$17,P34,0),IF(OFFSET('Coach Card'!$N$17,P34,0)&lt;&gt;""," - ",""),OFFSET('Coach Card'!$N$17,P34,0),IF(OFFSET('Coach Card'!$O$17,P34,0)&lt;&gt;""," - ",""),OFFSET('Coach Card'!$O$17,P34,0),IF(OFFSET('Coach Card'!$P$17,P34,0)&lt;&gt;""," - ",""),OFFSET('Coach Card'!$P$17,P34,0),IF(OFFSET('Coach Card'!$Q$17,P34,0)&lt;&gt;""," - ",""),OFFSET('Coach Card'!$Q$17,P34,0),IF(OFFSET('Coach Card'!$R$17,P34,0)&lt;&gt;""," - ",""),OFFSET('Coach Card'!$R$17,P34,0),IF(OFFSET('Coach Card'!$S$17,P34,0)&lt;&gt;""," - ",""),OFFSET('Coach Card'!$S$17,P34,0),IF(OFFSET('Coach Card'!$T$17,P34,0)&lt;&gt;""," - ",""),OFFSET('Coach Card'!$T$17,P34,0),IF(OFFSET('Coach Card'!$U$17,P34,0)&lt;&gt;""," - ",""),OFFSET('Coach Card'!$U$17,P34,0),IF(OFFSET('Coach Card'!$V$17,P34,0)&lt;&gt;""," - ",""),OFFSET('Coach Card'!$V$17,P34,0),IF(OFFSET('Coach Card'!$W$17,P34,0)&lt;&gt;""," - ",""),OFFSET('Coach Card'!$W$17,P34,0),IF(OFFSET('Coach Card'!$X$17,P34,0)&lt;&gt;""," - ",""),OFFSET('Coach Card'!$X$17,P34,0),IF(OFFSET('Coach Card'!$Y$17,P34,0)&lt;&gt;""," - ",""),OFFSET('Coach Card'!$Y$17,P34,0),IF(OFFSET('Coach Card'!$Z$17,P34,0)&lt;&gt;""," - ",""),OFFSET('Coach Card'!$Z$17,P34,0),IF(OFFSET('Coach Card'!$AA$17,P34,0)&lt;&gt;""," - ",""),OFFSET('Coach Card'!$AA$17,P34,0),IF(LEFT(E34,4)="Acro",CONCATENATE(" - ",OFFSET('Coach Card'!$AB$17,P34,0),IF(OFFSET('Coach Card'!$AC$17,P34,0)&lt;&gt;""," - ",""),OFFSET('Coach Card'!$AC$17,P34,0),IF(OFFSET('Coach Card'!$AD$17,P34,0)&lt;&gt;""," - ",""),OFFSET('Coach Card'!$AD$17,P34,0),IF(OFFSET('Coach Card'!$AE$17,P34,0)&lt;&gt;""," - ",""),OFFSET('Coach Card'!$AE$17,P34,0),IF(OFFSET('Coach Card'!$AF$17,P34,0)&lt;&gt;""," - ",""),OFFSET('Coach Card'!$AF$17,P34,0)),""))</f>
        <v/>
      </c>
      <c r="G34" s="262"/>
      <c r="H34" s="262"/>
      <c r="I34" s="262"/>
      <c r="J34" s="263"/>
      <c r="K34" s="261" t="str">
        <f ca="1">IF(LEFT(E34,4)="Acro","",CONCATENATE(OFFSET('Coach Card'!$AB$17,P34,0),IF(OFFSET('Coach Card'!$AC$17,P34,0)&lt;&gt;""," - ",""),OFFSET('Coach Card'!$AC$17,P34,0),IF(OFFSET('Coach Card'!$AD$17,P34,0)&lt;&gt;""," - ",""),OFFSET('Coach Card'!$AD$17,P34,0),IF(OFFSET('Coach Card'!$AE$17,P34,0)&lt;&gt;""," - ",""),OFFSET('Coach Card'!$AE$17,P34,0),IF(OFFSET('Coach Card'!$AF$17,P34,0)&lt;&gt;""," - ",""),OFFSET('Coach Card'!$AF$17,P34,0)))</f>
        <v/>
      </c>
      <c r="L34" s="262"/>
      <c r="M34" s="263"/>
      <c r="N34" s="159" t="str">
        <f ca="1">IF(OFFSET('Coach Card'!$AG$18,P34,0)=0,"",OFFSET('Coach Card'!$AG$18,P34,0))</f>
        <v/>
      </c>
      <c r="O34" s="117"/>
      <c r="P34" s="105">
        <v>40</v>
      </c>
    </row>
    <row r="35" spans="1:16" ht="24.95" customHeight="1" x14ac:dyDescent="0.25">
      <c r="A35" s="156" t="str">
        <f>IFERROR(IF('Coach Card'!D59&lt;&gt;"",IF('Coach Card'!C59&lt;&gt;"",CONCATENATE("0",'Coach Card'!A59,":",IF('Coach Card'!B59&lt;10,CONCATENATE("0",'Coach Card'!B59),'Coach Card'!B59)," - 0",'Coach Card'!C59,":",IF('Coach Card'!D59&lt;10,CONCATENATE("0",'Coach Card'!D59),'Coach Card'!D59)),""),""),"")</f>
        <v/>
      </c>
      <c r="B35" s="156" t="str">
        <f ca="1">IF(OFFSET('Coach Card'!$F$17,P35,0)="Transition","Transition",IF(LEFT(OFFSET('Coach Card'!$F$17,P35,0),4)="Hybr","Hybrid",IF(LEFT(OFFSET('Coach Card'!$F$17,P35,0),4)="Acro","Acrobatic",IF(LEFT(OFFSET('Coach Card'!$F$17,P35,0),4)="Tech","TRE",""))))</f>
        <v/>
      </c>
      <c r="C35" s="259" t="str">
        <f ca="1">IF(OFFSET('Coach Card'!$G$17,P35,0)&gt;0,OFFSET('Coach Card'!$G$17,P35,0),"")</f>
        <v/>
      </c>
      <c r="D35" s="260"/>
      <c r="E35" s="156" t="str">
        <f ca="1">IF(OFFSET('Coach Card'!$H$17,P35,0)&gt;0,OFFSET('Coach Card'!$H$17,P35,0),"")</f>
        <v/>
      </c>
      <c r="F35" s="261" t="str">
        <f ca="1">CONCATENATE(OFFSET('Coach Card'!$J$17,P35,0),IF(OFFSET('Coach Card'!$K$17,P35,0)&lt;&gt;""," - ",""),OFFSET('Coach Card'!$K$17,P35,0),IF(OFFSET('Coach Card'!$L$17,P35,0)&lt;&gt;""," - ",""),OFFSET('Coach Card'!$L$17,P35,0),IF(OFFSET('Coach Card'!$M$17,P35,0)&lt;&gt;""," - ",""),OFFSET('Coach Card'!$M$17,P35,0),IF(OFFSET('Coach Card'!$N$17,P35,0)&lt;&gt;""," - ",""),OFFSET('Coach Card'!$N$17,P35,0),IF(OFFSET('Coach Card'!$O$17,P35,0)&lt;&gt;""," - ",""),OFFSET('Coach Card'!$O$17,P35,0),IF(OFFSET('Coach Card'!$P$17,P35,0)&lt;&gt;""," - ",""),OFFSET('Coach Card'!$P$17,P35,0),IF(OFFSET('Coach Card'!$Q$17,P35,0)&lt;&gt;""," - ",""),OFFSET('Coach Card'!$Q$17,P35,0),IF(OFFSET('Coach Card'!$R$17,P35,0)&lt;&gt;""," - ",""),OFFSET('Coach Card'!$R$17,P35,0),IF(OFFSET('Coach Card'!$S$17,P35,0)&lt;&gt;""," - ",""),OFFSET('Coach Card'!$S$17,P35,0),IF(OFFSET('Coach Card'!$T$17,P35,0)&lt;&gt;""," - ",""),OFFSET('Coach Card'!$T$17,P35,0),IF(OFFSET('Coach Card'!$U$17,P35,0)&lt;&gt;""," - ",""),OFFSET('Coach Card'!$U$17,P35,0),IF(OFFSET('Coach Card'!$V$17,P35,0)&lt;&gt;""," - ",""),OFFSET('Coach Card'!$V$17,P35,0),IF(OFFSET('Coach Card'!$W$17,P35,0)&lt;&gt;""," - ",""),OFFSET('Coach Card'!$W$17,P35,0),IF(OFFSET('Coach Card'!$X$17,P35,0)&lt;&gt;""," - ",""),OFFSET('Coach Card'!$X$17,P35,0),IF(OFFSET('Coach Card'!$Y$17,P35,0)&lt;&gt;""," - ",""),OFFSET('Coach Card'!$Y$17,P35,0),IF(OFFSET('Coach Card'!$Z$17,P35,0)&lt;&gt;""," - ",""),OFFSET('Coach Card'!$Z$17,P35,0),IF(OFFSET('Coach Card'!$AA$17,P35,0)&lt;&gt;""," - ",""),OFFSET('Coach Card'!$AA$17,P35,0),IF(LEFT(E35,4)="Acro",CONCATENATE(" - ",OFFSET('Coach Card'!$AB$17,P35,0),IF(OFFSET('Coach Card'!$AC$17,P35,0)&lt;&gt;""," - ",""),OFFSET('Coach Card'!$AC$17,P35,0),IF(OFFSET('Coach Card'!$AD$17,P35,0)&lt;&gt;""," - ",""),OFFSET('Coach Card'!$AD$17,P35,0),IF(OFFSET('Coach Card'!$AE$17,P35,0)&lt;&gt;""," - ",""),OFFSET('Coach Card'!$AE$17,P35,0),IF(OFFSET('Coach Card'!$AF$17,P35,0)&lt;&gt;""," - ",""),OFFSET('Coach Card'!$AF$17,P35,0)),""))</f>
        <v/>
      </c>
      <c r="G35" s="262"/>
      <c r="H35" s="262"/>
      <c r="I35" s="262"/>
      <c r="J35" s="263"/>
      <c r="K35" s="261" t="str">
        <f ca="1">IF(LEFT(E35,4)="Acro","",CONCATENATE(OFFSET('Coach Card'!$AB$17,P35,0),IF(OFFSET('Coach Card'!$AC$17,P35,0)&lt;&gt;""," - ",""),OFFSET('Coach Card'!$AC$17,P35,0),IF(OFFSET('Coach Card'!$AD$17,P35,0)&lt;&gt;""," - ",""),OFFSET('Coach Card'!$AD$17,P35,0),IF(OFFSET('Coach Card'!$AE$17,P35,0)&lt;&gt;""," - ",""),OFFSET('Coach Card'!$AE$17,P35,0),IF(OFFSET('Coach Card'!$AF$17,P35,0)&lt;&gt;""," - ",""),OFFSET('Coach Card'!$AF$17,P35,0)))</f>
        <v/>
      </c>
      <c r="L35" s="262"/>
      <c r="M35" s="263"/>
      <c r="N35" s="159" t="str">
        <f ca="1">IF(OFFSET('Coach Card'!$AG$18,P35,0)=0,"",OFFSET('Coach Card'!$AG$18,P35,0))</f>
        <v/>
      </c>
      <c r="O35" s="117"/>
      <c r="P35" s="105">
        <v>42</v>
      </c>
    </row>
    <row r="36" spans="1:16" ht="24.95" customHeight="1" x14ac:dyDescent="0.25">
      <c r="A36" s="156" t="str">
        <f>IFERROR(IF('Coach Card'!D61&lt;&gt;"",IF('Coach Card'!C61&lt;&gt;"",CONCATENATE("0",'Coach Card'!A61,":",IF('Coach Card'!B61&lt;10,CONCATENATE("0",'Coach Card'!B61),'Coach Card'!B61)," - 0",'Coach Card'!C61,":",IF('Coach Card'!D61&lt;10,CONCATENATE("0",'Coach Card'!D61),'Coach Card'!D61)),""),""),"")</f>
        <v/>
      </c>
      <c r="B36" s="156" t="str">
        <f ca="1">IF(OFFSET('Coach Card'!$F$17,P36,0)="Transition","Transition",IF(LEFT(OFFSET('Coach Card'!$F$17,P36,0),4)="Hybr","Hybrid",IF(LEFT(OFFSET('Coach Card'!$F$17,P36,0),4)="Acro","Acrobatic",IF(LEFT(OFFSET('Coach Card'!$F$17,P36,0),4)="Tech","TRE",""))))</f>
        <v/>
      </c>
      <c r="C36" s="259" t="str">
        <f ca="1">IF(OFFSET('Coach Card'!$G$17,P36,0)&gt;0,OFFSET('Coach Card'!$G$17,P36,0),"")</f>
        <v/>
      </c>
      <c r="D36" s="260"/>
      <c r="E36" s="156" t="str">
        <f ca="1">IF(OFFSET('Coach Card'!$H$17,P36,0)&gt;0,OFFSET('Coach Card'!$H$17,P36,0),"")</f>
        <v/>
      </c>
      <c r="F36" s="261" t="str">
        <f ca="1">CONCATENATE(OFFSET('Coach Card'!$J$17,P36,0),IF(OFFSET('Coach Card'!$K$17,P36,0)&lt;&gt;""," - ",""),OFFSET('Coach Card'!$K$17,P36,0),IF(OFFSET('Coach Card'!$L$17,P36,0)&lt;&gt;""," - ",""),OFFSET('Coach Card'!$L$17,P36,0),IF(OFFSET('Coach Card'!$M$17,P36,0)&lt;&gt;""," - ",""),OFFSET('Coach Card'!$M$17,P36,0),IF(OFFSET('Coach Card'!$N$17,P36,0)&lt;&gt;""," - ",""),OFFSET('Coach Card'!$N$17,P36,0),IF(OFFSET('Coach Card'!$O$17,P36,0)&lt;&gt;""," - ",""),OFFSET('Coach Card'!$O$17,P36,0),IF(OFFSET('Coach Card'!$P$17,P36,0)&lt;&gt;""," - ",""),OFFSET('Coach Card'!$P$17,P36,0),IF(OFFSET('Coach Card'!$Q$17,P36,0)&lt;&gt;""," - ",""),OFFSET('Coach Card'!$Q$17,P36,0),IF(OFFSET('Coach Card'!$R$17,P36,0)&lt;&gt;""," - ",""),OFFSET('Coach Card'!$R$17,P36,0),IF(OFFSET('Coach Card'!$S$17,P36,0)&lt;&gt;""," - ",""),OFFSET('Coach Card'!$S$17,P36,0),IF(OFFSET('Coach Card'!$T$17,P36,0)&lt;&gt;""," - ",""),OFFSET('Coach Card'!$T$17,P36,0),IF(OFFSET('Coach Card'!$U$17,P36,0)&lt;&gt;""," - ",""),OFFSET('Coach Card'!$U$17,P36,0),IF(OFFSET('Coach Card'!$V$17,P36,0)&lt;&gt;""," - ",""),OFFSET('Coach Card'!$V$17,P36,0),IF(OFFSET('Coach Card'!$W$17,P36,0)&lt;&gt;""," - ",""),OFFSET('Coach Card'!$W$17,P36,0),IF(OFFSET('Coach Card'!$X$17,P36,0)&lt;&gt;""," - ",""),OFFSET('Coach Card'!$X$17,P36,0),IF(OFFSET('Coach Card'!$Y$17,P36,0)&lt;&gt;""," - ",""),OFFSET('Coach Card'!$Y$17,P36,0),IF(OFFSET('Coach Card'!$Z$17,P36,0)&lt;&gt;""," - ",""),OFFSET('Coach Card'!$Z$17,P36,0),IF(OFFSET('Coach Card'!$AA$17,P36,0)&lt;&gt;""," - ",""),OFFSET('Coach Card'!$AA$17,P36,0),IF(LEFT(E36,4)="Acro",CONCATENATE(" - ",OFFSET('Coach Card'!$AB$17,P36,0),IF(OFFSET('Coach Card'!$AC$17,P36,0)&lt;&gt;""," - ",""),OFFSET('Coach Card'!$AC$17,P36,0),IF(OFFSET('Coach Card'!$AD$17,P36,0)&lt;&gt;""," - ",""),OFFSET('Coach Card'!$AD$17,P36,0),IF(OFFSET('Coach Card'!$AE$17,P36,0)&lt;&gt;""," - ",""),OFFSET('Coach Card'!$AE$17,P36,0),IF(OFFSET('Coach Card'!$AF$17,P36,0)&lt;&gt;""," - ",""),OFFSET('Coach Card'!$AF$17,P36,0)),""))</f>
        <v/>
      </c>
      <c r="G36" s="262"/>
      <c r="H36" s="262"/>
      <c r="I36" s="262"/>
      <c r="J36" s="263"/>
      <c r="K36" s="261" t="str">
        <f ca="1">IF(LEFT(E36,4)="Acro","",CONCATENATE(OFFSET('Coach Card'!$AB$17,P36,0),IF(OFFSET('Coach Card'!$AC$17,P36,0)&lt;&gt;""," - ",""),OFFSET('Coach Card'!$AC$17,P36,0),IF(OFFSET('Coach Card'!$AD$17,P36,0)&lt;&gt;""," - ",""),OFFSET('Coach Card'!$AD$17,P36,0),IF(OFFSET('Coach Card'!$AE$17,P36,0)&lt;&gt;""," - ",""),OFFSET('Coach Card'!$AE$17,P36,0),IF(OFFSET('Coach Card'!$AF$17,P36,0)&lt;&gt;""," - ",""),OFFSET('Coach Card'!$AF$17,P36,0)))</f>
        <v/>
      </c>
      <c r="L36" s="262"/>
      <c r="M36" s="263"/>
      <c r="N36" s="159" t="str">
        <f ca="1">IF(OFFSET('Coach Card'!$AG$18,P36,0)=0,"",OFFSET('Coach Card'!$AG$18,P36,0))</f>
        <v/>
      </c>
      <c r="O36" s="117"/>
      <c r="P36" s="105">
        <v>44</v>
      </c>
    </row>
    <row r="37" spans="1:16" ht="24.95" customHeight="1" x14ac:dyDescent="0.25">
      <c r="A37" s="156" t="str">
        <f>IFERROR(IF('Coach Card'!D63&lt;&gt;"",IF('Coach Card'!C63&lt;&gt;"",CONCATENATE("0",'Coach Card'!A63,":",IF('Coach Card'!B63&lt;10,CONCATENATE("0",'Coach Card'!B63),'Coach Card'!B63)," - 0",'Coach Card'!C63,":",IF('Coach Card'!D63&lt;10,CONCATENATE("0",'Coach Card'!D63),'Coach Card'!D63)),""),""),"")</f>
        <v/>
      </c>
      <c r="B37" s="156" t="str">
        <f ca="1">IF(OFFSET('Coach Card'!$F$17,P37,0)="Transition","Transition",IF(LEFT(OFFSET('Coach Card'!$F$17,P37,0),4)="Hybr","Hybrid",IF(LEFT(OFFSET('Coach Card'!$F$17,P37,0),4)="Acro","Acrobatic",IF(LEFT(OFFSET('Coach Card'!$F$17,P37,0),4)="Tech","TRE",""))))</f>
        <v/>
      </c>
      <c r="C37" s="259" t="str">
        <f ca="1">IF(OFFSET('Coach Card'!$G$17,P37,0)&gt;0,OFFSET('Coach Card'!$G$17,P37,0),"")</f>
        <v/>
      </c>
      <c r="D37" s="260"/>
      <c r="E37" s="156" t="str">
        <f ca="1">IF(OFFSET('Coach Card'!$H$17,P37,0)&gt;0,OFFSET('Coach Card'!$H$17,P37,0),"")</f>
        <v/>
      </c>
      <c r="F37" s="261" t="str">
        <f ca="1">CONCATENATE(OFFSET('Coach Card'!$J$17,P37,0),IF(OFFSET('Coach Card'!$K$17,P37,0)&lt;&gt;""," - ",""),OFFSET('Coach Card'!$K$17,P37,0),IF(OFFSET('Coach Card'!$L$17,P37,0)&lt;&gt;""," - ",""),OFFSET('Coach Card'!$L$17,P37,0),IF(OFFSET('Coach Card'!$M$17,P37,0)&lt;&gt;""," - ",""),OFFSET('Coach Card'!$M$17,P37,0),IF(OFFSET('Coach Card'!$N$17,P37,0)&lt;&gt;""," - ",""),OFFSET('Coach Card'!$N$17,P37,0),IF(OFFSET('Coach Card'!$O$17,P37,0)&lt;&gt;""," - ",""),OFFSET('Coach Card'!$O$17,P37,0),IF(OFFSET('Coach Card'!$P$17,P37,0)&lt;&gt;""," - ",""),OFFSET('Coach Card'!$P$17,P37,0),IF(OFFSET('Coach Card'!$Q$17,P37,0)&lt;&gt;""," - ",""),OFFSET('Coach Card'!$Q$17,P37,0),IF(OFFSET('Coach Card'!$R$17,P37,0)&lt;&gt;""," - ",""),OFFSET('Coach Card'!$R$17,P37,0),IF(OFFSET('Coach Card'!$S$17,P37,0)&lt;&gt;""," - ",""),OFFSET('Coach Card'!$S$17,P37,0),IF(OFFSET('Coach Card'!$T$17,P37,0)&lt;&gt;""," - ",""),OFFSET('Coach Card'!$T$17,P37,0),IF(OFFSET('Coach Card'!$U$17,P37,0)&lt;&gt;""," - ",""),OFFSET('Coach Card'!$U$17,P37,0),IF(OFFSET('Coach Card'!$V$17,P37,0)&lt;&gt;""," - ",""),OFFSET('Coach Card'!$V$17,P37,0),IF(OFFSET('Coach Card'!$W$17,P37,0)&lt;&gt;""," - ",""),OFFSET('Coach Card'!$W$17,P37,0),IF(OFFSET('Coach Card'!$X$17,P37,0)&lt;&gt;""," - ",""),OFFSET('Coach Card'!$X$17,P37,0),IF(OFFSET('Coach Card'!$Y$17,P37,0)&lt;&gt;""," - ",""),OFFSET('Coach Card'!$Y$17,P37,0),IF(OFFSET('Coach Card'!$Z$17,P37,0)&lt;&gt;""," - ",""),OFFSET('Coach Card'!$Z$17,P37,0),IF(OFFSET('Coach Card'!$AA$17,P37,0)&lt;&gt;""," - ",""),OFFSET('Coach Card'!$AA$17,P37,0),IF(LEFT(E37,4)="Acro",CONCATENATE(" - ",OFFSET('Coach Card'!$AB$17,P37,0),IF(OFFSET('Coach Card'!$AC$17,P37,0)&lt;&gt;""," - ",""),OFFSET('Coach Card'!$AC$17,P37,0),IF(OFFSET('Coach Card'!$AD$17,P37,0)&lt;&gt;""," - ",""),OFFSET('Coach Card'!$AD$17,P37,0),IF(OFFSET('Coach Card'!$AE$17,P37,0)&lt;&gt;""," - ",""),OFFSET('Coach Card'!$AE$17,P37,0),IF(OFFSET('Coach Card'!$AF$17,P37,0)&lt;&gt;""," - ",""),OFFSET('Coach Card'!$AF$17,P37,0)),""))</f>
        <v/>
      </c>
      <c r="G37" s="262"/>
      <c r="H37" s="262"/>
      <c r="I37" s="262"/>
      <c r="J37" s="263"/>
      <c r="K37" s="261" t="str">
        <f ca="1">IF(LEFT(E37,4)="Acro","",CONCATENATE(OFFSET('Coach Card'!$AB$17,P37,0),IF(OFFSET('Coach Card'!$AC$17,P37,0)&lt;&gt;""," - ",""),OFFSET('Coach Card'!$AC$17,P37,0),IF(OFFSET('Coach Card'!$AD$17,P37,0)&lt;&gt;""," - ",""),OFFSET('Coach Card'!$AD$17,P37,0),IF(OFFSET('Coach Card'!$AE$17,P37,0)&lt;&gt;""," - ",""),OFFSET('Coach Card'!$AE$17,P37,0),IF(OFFSET('Coach Card'!$AF$17,P37,0)&lt;&gt;""," - ",""),OFFSET('Coach Card'!$AF$17,P37,0)))</f>
        <v/>
      </c>
      <c r="L37" s="262"/>
      <c r="M37" s="263"/>
      <c r="N37" s="159" t="str">
        <f ca="1">IF(OFFSET('Coach Card'!$AG$18,P37,0)=0,"",OFFSET('Coach Card'!$AG$18,P37,0))</f>
        <v/>
      </c>
      <c r="O37" s="117"/>
      <c r="P37" s="105">
        <v>46</v>
      </c>
    </row>
    <row r="38" spans="1:16" ht="24.95" customHeight="1" x14ac:dyDescent="0.25">
      <c r="A38" s="156" t="str">
        <f>IFERROR(IF('Coach Card'!D65&lt;&gt;"",IF('Coach Card'!C65&lt;&gt;"",CONCATENATE("0",'Coach Card'!A65,":",IF('Coach Card'!B65&lt;10,CONCATENATE("0",'Coach Card'!B65),'Coach Card'!B65)," - 0",'Coach Card'!C65,":",IF('Coach Card'!D65&lt;10,CONCATENATE("0",'Coach Card'!D65),'Coach Card'!D65)),""),""),"")</f>
        <v/>
      </c>
      <c r="B38" s="156" t="str">
        <f ca="1">IF(OFFSET('Coach Card'!$F$17,P38,0)="Transition","Transition",IF(LEFT(OFFSET('Coach Card'!$F$17,P38,0),4)="Hybr","Hybrid",IF(LEFT(OFFSET('Coach Card'!$F$17,P38,0),4)="Acro","Acrobatic",IF(LEFT(OFFSET('Coach Card'!$F$17,P38,0),4)="Tech","TRE",""))))</f>
        <v/>
      </c>
      <c r="C38" s="259" t="str">
        <f ca="1">IF(OFFSET('Coach Card'!$G$17,P38,0)&gt;0,OFFSET('Coach Card'!$G$17,P38,0),"")</f>
        <v/>
      </c>
      <c r="D38" s="260"/>
      <c r="E38" s="156" t="str">
        <f ca="1">IF(OFFSET('Coach Card'!$H$17,P38,0)&gt;0,OFFSET('Coach Card'!$H$17,P38,0),"")</f>
        <v/>
      </c>
      <c r="F38" s="261" t="str">
        <f ca="1">CONCATENATE(OFFSET('Coach Card'!$J$17,P38,0),IF(OFFSET('Coach Card'!$K$17,P38,0)&lt;&gt;""," - ",""),OFFSET('Coach Card'!$K$17,P38,0),IF(OFFSET('Coach Card'!$L$17,P38,0)&lt;&gt;""," - ",""),OFFSET('Coach Card'!$L$17,P38,0),IF(OFFSET('Coach Card'!$M$17,P38,0)&lt;&gt;""," - ",""),OFFSET('Coach Card'!$M$17,P38,0),IF(OFFSET('Coach Card'!$N$17,P38,0)&lt;&gt;""," - ",""),OFFSET('Coach Card'!$N$17,P38,0),IF(OFFSET('Coach Card'!$O$17,P38,0)&lt;&gt;""," - ",""),OFFSET('Coach Card'!$O$17,P38,0),IF(OFFSET('Coach Card'!$P$17,P38,0)&lt;&gt;""," - ",""),OFFSET('Coach Card'!$P$17,P38,0),IF(OFFSET('Coach Card'!$Q$17,P38,0)&lt;&gt;""," - ",""),OFFSET('Coach Card'!$Q$17,P38,0),IF(OFFSET('Coach Card'!$R$17,P38,0)&lt;&gt;""," - ",""),OFFSET('Coach Card'!$R$17,P38,0),IF(OFFSET('Coach Card'!$S$17,P38,0)&lt;&gt;""," - ",""),OFFSET('Coach Card'!$S$17,P38,0),IF(OFFSET('Coach Card'!$T$17,P38,0)&lt;&gt;""," - ",""),OFFSET('Coach Card'!$T$17,P38,0),IF(OFFSET('Coach Card'!$U$17,P38,0)&lt;&gt;""," - ",""),OFFSET('Coach Card'!$U$17,P38,0),IF(OFFSET('Coach Card'!$V$17,P38,0)&lt;&gt;""," - ",""),OFFSET('Coach Card'!$V$17,P38,0),IF(OFFSET('Coach Card'!$W$17,P38,0)&lt;&gt;""," - ",""),OFFSET('Coach Card'!$W$17,P38,0),IF(OFFSET('Coach Card'!$X$17,P38,0)&lt;&gt;""," - ",""),OFFSET('Coach Card'!$X$17,P38,0),IF(OFFSET('Coach Card'!$Y$17,P38,0)&lt;&gt;""," - ",""),OFFSET('Coach Card'!$Y$17,P38,0),IF(OFFSET('Coach Card'!$Z$17,P38,0)&lt;&gt;""," - ",""),OFFSET('Coach Card'!$Z$17,P38,0),IF(OFFSET('Coach Card'!$AA$17,P38,0)&lt;&gt;""," - ",""),OFFSET('Coach Card'!$AA$17,P38,0),IF(LEFT(E38,4)="Acro",CONCATENATE(" - ",OFFSET('Coach Card'!$AB$17,P38,0),IF(OFFSET('Coach Card'!$AC$17,P38,0)&lt;&gt;""," - ",""),OFFSET('Coach Card'!$AC$17,P38,0),IF(OFFSET('Coach Card'!$AD$17,P38,0)&lt;&gt;""," - ",""),OFFSET('Coach Card'!$AD$17,P38,0),IF(OFFSET('Coach Card'!$AE$17,P38,0)&lt;&gt;""," - ",""),OFFSET('Coach Card'!$AE$17,P38,0),IF(OFFSET('Coach Card'!$AF$17,P38,0)&lt;&gt;""," - ",""),OFFSET('Coach Card'!$AF$17,P38,0)),""))</f>
        <v/>
      </c>
      <c r="G38" s="262"/>
      <c r="H38" s="262"/>
      <c r="I38" s="262"/>
      <c r="J38" s="263"/>
      <c r="K38" s="261" t="str">
        <f ca="1">IF(LEFT(E38,4)="Acro","",CONCATENATE(OFFSET('Coach Card'!$AB$17,P38,0),IF(OFFSET('Coach Card'!$AC$17,P38,0)&lt;&gt;""," - ",""),OFFSET('Coach Card'!$AC$17,P38,0),IF(OFFSET('Coach Card'!$AD$17,P38,0)&lt;&gt;""," - ",""),OFFSET('Coach Card'!$AD$17,P38,0),IF(OFFSET('Coach Card'!$AE$17,P38,0)&lt;&gt;""," - ",""),OFFSET('Coach Card'!$AE$17,P38,0),IF(OFFSET('Coach Card'!$AF$17,P38,0)&lt;&gt;""," - ",""),OFFSET('Coach Card'!$AF$17,P38,0)))</f>
        <v/>
      </c>
      <c r="L38" s="262"/>
      <c r="M38" s="263"/>
      <c r="N38" s="159" t="str">
        <f ca="1">IF(OFFSET('Coach Card'!$AG$18,P38,0)=0,"",OFFSET('Coach Card'!$AG$18,P38,0))</f>
        <v/>
      </c>
      <c r="O38" s="117"/>
      <c r="P38" s="105">
        <v>48</v>
      </c>
    </row>
    <row r="39" spans="1:16" ht="24.95" customHeight="1" x14ac:dyDescent="0.25">
      <c r="A39" s="156"/>
      <c r="B39" s="156"/>
      <c r="C39" s="157"/>
      <c r="D39" s="158"/>
      <c r="E39" s="156"/>
      <c r="F39" s="261" t="str">
        <f ca="1">CONCATENATE(OFFSET('Coach Card'!$J$17,P39,0),IF(OFFSET('Coach Card'!$K$17,P39,0)&lt;&gt;""," - ",""),OFFSET('Coach Card'!$K$17,P39,0),IF(OFFSET('Coach Card'!$L$17,P39,0)&lt;&gt;""," - ",""),OFFSET('Coach Card'!$L$17,P39,0),IF(OFFSET('Coach Card'!$M$17,P39,0)&lt;&gt;""," - ",""),OFFSET('Coach Card'!$M$17,P39,0),IF(OFFSET('Coach Card'!$N$17,P39,0)&lt;&gt;""," - ",""),OFFSET('Coach Card'!$N$17,P39,0),IF(OFFSET('Coach Card'!$O$17,P39,0)&lt;&gt;""," - ",""),OFFSET('Coach Card'!$O$17,P39,0),IF(OFFSET('Coach Card'!$P$17,P39,0)&lt;&gt;""," - ",""),OFFSET('Coach Card'!$P$17,P39,0),IF(OFFSET('Coach Card'!$Q$17,P39,0)&lt;&gt;""," - ",""),OFFSET('Coach Card'!$Q$17,P39,0),IF(OFFSET('Coach Card'!$R$17,P39,0)&lt;&gt;""," - ",""),OFFSET('Coach Card'!$R$17,P39,0),IF(OFFSET('Coach Card'!$S$17,P39,0)&lt;&gt;""," - ",""),OFFSET('Coach Card'!$S$17,P39,0),IF(OFFSET('Coach Card'!$T$17,P39,0)&lt;&gt;""," - ",""),OFFSET('Coach Card'!$T$17,P39,0),IF(OFFSET('Coach Card'!$U$17,P39,0)&lt;&gt;""," - ",""),OFFSET('Coach Card'!$U$17,P39,0),IF(OFFSET('Coach Card'!$V$17,P39,0)&lt;&gt;""," - ",""),OFFSET('Coach Card'!$V$17,P39,0),IF(OFFSET('Coach Card'!$W$17,P39,0)&lt;&gt;""," - ",""),OFFSET('Coach Card'!$W$17,P39,0),IF(OFFSET('Coach Card'!$X$17,P39,0)&lt;&gt;""," - ",""),OFFSET('Coach Card'!$X$17,P39,0),IF(OFFSET('Coach Card'!$Y$17,P39,0)&lt;&gt;""," - ",""),OFFSET('Coach Card'!$Y$17,P39,0),IF(OFFSET('Coach Card'!$Z$17,P39,0)&lt;&gt;""," - ",""),OFFSET('Coach Card'!$Z$17,P39,0),IF(OFFSET('Coach Card'!$AA$17,P39,0)&lt;&gt;""," - ",""),OFFSET('Coach Card'!$AA$17,P39,0),IF(LEFT(E39,4)="Acro",CONCATENATE(" - ",OFFSET('Coach Card'!$AB$17,P39,0),IF(OFFSET('Coach Card'!$AC$17,P39,0)&lt;&gt;""," - ",""),OFFSET('Coach Card'!$AC$17,P39,0),IF(OFFSET('Coach Card'!$AD$17,P39,0)&lt;&gt;""," - ",""),OFFSET('Coach Card'!$AD$17,P39,0),IF(OFFSET('Coach Card'!$AE$17,P39,0)&lt;&gt;""," - ",""),OFFSET('Coach Card'!$AE$17,P39,0),IF(OFFSET('Coach Card'!$AF$17,P39,0)&lt;&gt;""," - ",""),OFFSET('Coach Card'!$AF$17,P39,0)),""))</f>
        <v/>
      </c>
      <c r="G39" s="262"/>
      <c r="H39" s="262"/>
      <c r="I39" s="262"/>
      <c r="J39" s="263"/>
      <c r="K39" s="261" t="str">
        <f ca="1">IF(LEFT(E39,4)="Acro","",CONCATENATE(OFFSET('Coach Card'!$AB$17,P39,0),IF(OFFSET('Coach Card'!$AC$17,P39,0)&lt;&gt;""," - ",""),OFFSET('Coach Card'!$AC$17,P39,0),IF(OFFSET('Coach Card'!$AD$17,P39,0)&lt;&gt;""," - ",""),OFFSET('Coach Card'!$AD$17,P39,0),IF(OFFSET('Coach Card'!$AE$17,P39,0)&lt;&gt;""," - ",""),OFFSET('Coach Card'!$AE$17,P39,0),IF(OFFSET('Coach Card'!$AF$17,P39,0)&lt;&gt;""," - ",""),OFFSET('Coach Card'!$AF$17,P39,0)))</f>
        <v/>
      </c>
      <c r="L39" s="262"/>
      <c r="M39" s="263"/>
      <c r="N39" s="159"/>
      <c r="O39" s="117"/>
    </row>
    <row r="40" spans="1:16" ht="24.95" customHeight="1" x14ac:dyDescent="0.25">
      <c r="A40" s="160"/>
      <c r="B40" s="160"/>
      <c r="C40" s="274"/>
      <c r="D40" s="274"/>
      <c r="E40" s="160"/>
      <c r="F40" s="275"/>
      <c r="G40" s="275"/>
      <c r="H40" s="275"/>
      <c r="I40" s="275"/>
      <c r="J40" s="275"/>
      <c r="K40" s="276" t="s">
        <v>831</v>
      </c>
      <c r="L40" s="276"/>
      <c r="M40" s="277"/>
      <c r="N40" s="159" t="str">
        <f>IF('Coach Card'!$AG$13=0,"",'Coach Card'!$AG$13)</f>
        <v/>
      </c>
      <c r="O40" s="117"/>
      <c r="P40" s="105">
        <v>50</v>
      </c>
    </row>
    <row r="41" spans="1:16" ht="14.1" customHeight="1" x14ac:dyDescent="0.25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</row>
    <row r="42" spans="1:16" ht="19.5" customHeight="1" x14ac:dyDescent="0.2">
      <c r="B42" s="125"/>
      <c r="C42" s="128" t="str">
        <f>A5</f>
        <v>Club:</v>
      </c>
      <c r="D42" s="272" t="str">
        <f>IF('Coach Card'!F5&lt;&gt;"",'Coach Card'!F5,"")</f>
        <v/>
      </c>
      <c r="E42" s="272"/>
      <c r="F42" s="272"/>
      <c r="G42" s="272"/>
      <c r="H42" s="272"/>
      <c r="I42" s="272"/>
      <c r="J42" s="272"/>
      <c r="K42" s="118"/>
      <c r="L42" s="118"/>
      <c r="M42" s="118"/>
      <c r="N42" s="118"/>
      <c r="O42" s="118"/>
    </row>
    <row r="43" spans="1:16" s="120" customFormat="1" ht="4.5" customHeight="1" x14ac:dyDescent="0.2">
      <c r="D43" s="123" t="s">
        <v>833</v>
      </c>
    </row>
    <row r="44" spans="1:16" s="120" customFormat="1" ht="21" customHeight="1" x14ac:dyDescent="0.25">
      <c r="A44" s="119"/>
    </row>
    <row r="45" spans="1:16" s="122" customFormat="1" ht="22.5" customHeight="1" x14ac:dyDescent="0.25">
      <c r="A45" s="124" t="s">
        <v>836</v>
      </c>
      <c r="B45" s="273"/>
      <c r="C45" s="273"/>
      <c r="D45" s="273"/>
      <c r="E45" s="273"/>
      <c r="F45" s="124" t="s">
        <v>835</v>
      </c>
      <c r="G45" s="273"/>
      <c r="H45" s="273"/>
      <c r="I45" s="273"/>
      <c r="J45" s="273"/>
    </row>
    <row r="46" spans="1:16" s="126" customFormat="1" ht="4.5" customHeight="1" x14ac:dyDescent="0.2">
      <c r="B46" s="123" t="s">
        <v>834</v>
      </c>
      <c r="G46" s="123" t="s">
        <v>832</v>
      </c>
    </row>
  </sheetData>
  <sheetProtection algorithmName="SHA-512" hashValue="yK93M5aP06BQE/VmqJBZLhxVqbkqtDrbdCjoytDzF/vCK4O7cGduTsRxaPRyQPletXupYFURiNa2ZIR8mfCC3Q==" saltValue="+4deWqa8Ka/wNkBpbRyvUg==" spinCount="100000" sheet="1" scenarios="1"/>
  <mergeCells count="106">
    <mergeCell ref="D42:J42"/>
    <mergeCell ref="B45:E45"/>
    <mergeCell ref="G45:J45"/>
    <mergeCell ref="C40:D40"/>
    <mergeCell ref="F40:J40"/>
    <mergeCell ref="K40:M40"/>
    <mergeCell ref="C37:D37"/>
    <mergeCell ref="F37:J37"/>
    <mergeCell ref="K37:M37"/>
    <mergeCell ref="C38:D38"/>
    <mergeCell ref="F38:J38"/>
    <mergeCell ref="K38:M38"/>
    <mergeCell ref="F39:J39"/>
    <mergeCell ref="K39:M39"/>
    <mergeCell ref="C35:D35"/>
    <mergeCell ref="F35:J35"/>
    <mergeCell ref="K35:M35"/>
    <mergeCell ref="C36:D36"/>
    <mergeCell ref="F36:J36"/>
    <mergeCell ref="K36:M36"/>
    <mergeCell ref="C33:D33"/>
    <mergeCell ref="F33:J33"/>
    <mergeCell ref="K33:M33"/>
    <mergeCell ref="C34:D34"/>
    <mergeCell ref="F34:J34"/>
    <mergeCell ref="K34:M34"/>
    <mergeCell ref="C31:D31"/>
    <mergeCell ref="F31:J31"/>
    <mergeCell ref="K31:M31"/>
    <mergeCell ref="C32:D32"/>
    <mergeCell ref="F32:J32"/>
    <mergeCell ref="K32:M32"/>
    <mergeCell ref="C29:D29"/>
    <mergeCell ref="F29:J29"/>
    <mergeCell ref="K29:M29"/>
    <mergeCell ref="C30:D30"/>
    <mergeCell ref="F30:J30"/>
    <mergeCell ref="K30:M30"/>
    <mergeCell ref="C27:D27"/>
    <mergeCell ref="F27:J27"/>
    <mergeCell ref="K27:M27"/>
    <mergeCell ref="C28:D28"/>
    <mergeCell ref="F28:J28"/>
    <mergeCell ref="K28:M28"/>
    <mergeCell ref="C25:D25"/>
    <mergeCell ref="F25:J25"/>
    <mergeCell ref="K25:M25"/>
    <mergeCell ref="C26:D26"/>
    <mergeCell ref="F26:J26"/>
    <mergeCell ref="K26:M26"/>
    <mergeCell ref="C23:D23"/>
    <mergeCell ref="F23:J23"/>
    <mergeCell ref="K23:M23"/>
    <mergeCell ref="C24:D24"/>
    <mergeCell ref="F24:J24"/>
    <mergeCell ref="K24:M24"/>
    <mergeCell ref="C21:D21"/>
    <mergeCell ref="F21:J21"/>
    <mergeCell ref="K21:M21"/>
    <mergeCell ref="C22:D22"/>
    <mergeCell ref="F22:J22"/>
    <mergeCell ref="K22:M22"/>
    <mergeCell ref="C19:D19"/>
    <mergeCell ref="F19:J19"/>
    <mergeCell ref="K19:M19"/>
    <mergeCell ref="C20:D20"/>
    <mergeCell ref="F20:J20"/>
    <mergeCell ref="K20:M20"/>
    <mergeCell ref="C17:D17"/>
    <mergeCell ref="F17:J17"/>
    <mergeCell ref="K17:M17"/>
    <mergeCell ref="C18:D18"/>
    <mergeCell ref="F18:J18"/>
    <mergeCell ref="K18:M18"/>
    <mergeCell ref="C15:D15"/>
    <mergeCell ref="F15:J15"/>
    <mergeCell ref="K15:M15"/>
    <mergeCell ref="C16:D16"/>
    <mergeCell ref="F16:J16"/>
    <mergeCell ref="K16:M16"/>
    <mergeCell ref="A11:C11"/>
    <mergeCell ref="A12:C12"/>
    <mergeCell ref="A13:O13"/>
    <mergeCell ref="C14:D14"/>
    <mergeCell ref="F14:J14"/>
    <mergeCell ref="K14:M14"/>
    <mergeCell ref="E12:O12"/>
    <mergeCell ref="E11:O11"/>
    <mergeCell ref="M8:O8"/>
    <mergeCell ref="E9:F9"/>
    <mergeCell ref="J9:K9"/>
    <mergeCell ref="M9:O9"/>
    <mergeCell ref="E10:F10"/>
    <mergeCell ref="J10:K10"/>
    <mergeCell ref="M10:O10"/>
    <mergeCell ref="A5:C5"/>
    <mergeCell ref="A6:C6"/>
    <mergeCell ref="E7:F7"/>
    <mergeCell ref="J7:K7"/>
    <mergeCell ref="M7:O7"/>
    <mergeCell ref="E8:F8"/>
    <mergeCell ref="J8:K8"/>
    <mergeCell ref="A7:C7"/>
    <mergeCell ref="A9:C10"/>
    <mergeCell ref="E5:O5"/>
    <mergeCell ref="E6:O6"/>
  </mergeCells>
  <pageMargins left="0.25" right="0.25" top="0.75" bottom="0.75" header="0.3" footer="0.3"/>
  <pageSetup paperSize="9" scale="6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CF338"/>
  <sheetViews>
    <sheetView topLeftCell="A7" zoomScaleNormal="100" workbookViewId="0">
      <selection activeCell="A25" sqref="A25"/>
    </sheetView>
  </sheetViews>
  <sheetFormatPr defaultColWidth="8.85546875" defaultRowHeight="15" x14ac:dyDescent="0.25"/>
  <cols>
    <col min="1" max="1" width="26.28515625" bestFit="1" customWidth="1"/>
    <col min="2" max="2" width="4" customWidth="1"/>
    <col min="3" max="3" width="13.42578125" bestFit="1" customWidth="1"/>
    <col min="4" max="4" width="4.42578125" customWidth="1"/>
    <col min="5" max="5" width="26.28515625" bestFit="1" customWidth="1"/>
    <col min="6" max="6" width="9.140625" style="1"/>
    <col min="7" max="7" width="34.85546875" bestFit="1" customWidth="1"/>
    <col min="11" max="11" width="12" bestFit="1" customWidth="1"/>
    <col min="12" max="16" width="12" customWidth="1"/>
    <col min="17" max="17" width="10.42578125" bestFit="1" customWidth="1"/>
    <col min="18" max="18" width="10.42578125" customWidth="1"/>
    <col min="21" max="21" width="9.140625" style="1"/>
    <col min="22" max="22" width="9.140625" style="5"/>
    <col min="23" max="24" width="9.140625" style="3"/>
    <col min="25" max="25" width="11.140625" style="3" bestFit="1" customWidth="1"/>
    <col min="26" max="26" width="11.7109375" style="3" bestFit="1" customWidth="1"/>
    <col min="27" max="27" width="11.7109375" style="3" customWidth="1"/>
    <col min="28" max="28" width="9.140625" style="3"/>
    <col min="29" max="29" width="9.7109375" style="3" bestFit="1" customWidth="1"/>
    <col min="30" max="30" width="10.28515625" style="3" bestFit="1" customWidth="1"/>
    <col min="31" max="31" width="9.140625" style="5"/>
    <col min="40" max="40" width="11.140625" bestFit="1" customWidth="1"/>
    <col min="41" max="41" width="11.7109375" bestFit="1" customWidth="1"/>
    <col min="42" max="47" width="11.7109375" customWidth="1"/>
    <col min="56" max="56" width="9.140625" customWidth="1"/>
    <col min="62" max="62" width="9.140625" style="8"/>
    <col min="67" max="67" width="10.85546875" customWidth="1"/>
    <col min="82" max="82" width="37.85546875" bestFit="1" customWidth="1"/>
    <col min="83" max="83" width="33.140625" bestFit="1" customWidth="1"/>
    <col min="84" max="84" width="5.42578125" bestFit="1" customWidth="1"/>
  </cols>
  <sheetData>
    <row r="1" spans="1:84" x14ac:dyDescent="0.2">
      <c r="A1" t="s">
        <v>8</v>
      </c>
      <c r="C1" t="s">
        <v>20</v>
      </c>
      <c r="E1" t="s">
        <v>25</v>
      </c>
      <c r="F1" s="1" t="s">
        <v>89</v>
      </c>
      <c r="G1" t="s">
        <v>34</v>
      </c>
      <c r="H1" s="1" t="s">
        <v>30</v>
      </c>
      <c r="I1" s="1" t="s">
        <v>29</v>
      </c>
      <c r="J1" s="1" t="s">
        <v>19</v>
      </c>
      <c r="K1" s="1" t="s">
        <v>68</v>
      </c>
      <c r="L1" s="1" t="s">
        <v>70</v>
      </c>
      <c r="M1" s="1" t="s">
        <v>72</v>
      </c>
      <c r="N1" s="1" t="s">
        <v>71</v>
      </c>
      <c r="O1" s="1" t="s">
        <v>73</v>
      </c>
      <c r="P1" s="1" t="s">
        <v>74</v>
      </c>
      <c r="Q1" s="1" t="s">
        <v>69</v>
      </c>
      <c r="R1" s="1" t="s">
        <v>31</v>
      </c>
      <c r="T1" s="1" t="s">
        <v>80</v>
      </c>
      <c r="U1" s="1" t="s">
        <v>262</v>
      </c>
      <c r="W1" s="278" t="e">
        <f>INDEX($U$3:$U$36,MATCH('Coach Card'!$AR$9,$G$3:$G$36,0))</f>
        <v>#N/A</v>
      </c>
      <c r="X1" s="278"/>
      <c r="Y1" s="278" t="e">
        <f>INDEX($U$3:$U$36,MATCH('Coach Card'!$AR$9,$G$3:$G$36,0))</f>
        <v>#N/A</v>
      </c>
      <c r="Z1" s="278"/>
      <c r="AA1" s="278" t="e">
        <f>INDEX($U$3:$U$36,MATCH('Coach Card'!$AR$9,$G$3:$G$36,0))</f>
        <v>#N/A</v>
      </c>
      <c r="AB1" s="278"/>
      <c r="AC1" s="278"/>
      <c r="AD1" s="278"/>
      <c r="AE1" s="6"/>
      <c r="AF1" s="278" t="s">
        <v>231</v>
      </c>
      <c r="AG1" s="278"/>
      <c r="AH1" s="278" t="s">
        <v>232</v>
      </c>
      <c r="AI1" s="278"/>
      <c r="AJ1" s="278" t="s">
        <v>233</v>
      </c>
      <c r="AK1" s="278"/>
      <c r="AL1" s="278" t="s">
        <v>234</v>
      </c>
      <c r="AM1" s="278"/>
      <c r="AN1" s="278" t="s">
        <v>231</v>
      </c>
      <c r="AO1" s="278"/>
      <c r="AP1" s="278" t="s">
        <v>232</v>
      </c>
      <c r="AQ1" s="278"/>
      <c r="AR1" s="278" t="s">
        <v>233</v>
      </c>
      <c r="AS1" s="278"/>
      <c r="AT1" s="278" t="s">
        <v>234</v>
      </c>
      <c r="AU1" s="278"/>
      <c r="AV1" s="278" t="s">
        <v>231</v>
      </c>
      <c r="AW1" s="278"/>
      <c r="AX1" s="278" t="s">
        <v>232</v>
      </c>
      <c r="AY1" s="278"/>
      <c r="AZ1" s="278" t="s">
        <v>233</v>
      </c>
      <c r="BA1" s="278"/>
      <c r="BB1" s="278" t="s">
        <v>234</v>
      </c>
      <c r="BC1" s="278"/>
      <c r="BD1" s="278"/>
      <c r="BE1" s="278"/>
      <c r="BF1" s="278" t="s">
        <v>232</v>
      </c>
      <c r="BG1" s="278"/>
      <c r="BK1" s="279" t="s">
        <v>298</v>
      </c>
      <c r="BL1" s="279"/>
      <c r="BM1" s="280" t="s">
        <v>302</v>
      </c>
      <c r="BN1" s="280"/>
      <c r="BO1" s="77" t="s">
        <v>306</v>
      </c>
      <c r="BP1" s="77"/>
      <c r="BQ1" s="281" t="s">
        <v>313</v>
      </c>
      <c r="BR1" s="281"/>
      <c r="BT1" t="s">
        <v>748</v>
      </c>
      <c r="BU1" t="s">
        <v>749</v>
      </c>
      <c r="BV1" t="s">
        <v>750</v>
      </c>
      <c r="BW1" t="s">
        <v>751</v>
      </c>
      <c r="BX1" t="s">
        <v>752</v>
      </c>
      <c r="BY1" t="s">
        <v>753</v>
      </c>
      <c r="BZ1" t="s">
        <v>754</v>
      </c>
      <c r="CA1" t="s">
        <v>755</v>
      </c>
      <c r="CB1" t="s">
        <v>756</v>
      </c>
      <c r="CD1" t="s">
        <v>851</v>
      </c>
      <c r="CE1" t="s">
        <v>1271</v>
      </c>
      <c r="CF1" t="s">
        <v>1063</v>
      </c>
    </row>
    <row r="2" spans="1:84" x14ac:dyDescent="0.2">
      <c r="H2" s="1"/>
      <c r="I2" s="1"/>
      <c r="J2" s="1"/>
      <c r="K2" s="1"/>
      <c r="L2" s="1"/>
      <c r="M2" s="1"/>
      <c r="N2" s="1"/>
      <c r="O2" s="1"/>
      <c r="P2" s="1"/>
      <c r="Q2" s="1"/>
      <c r="R2" s="1"/>
      <c r="W2" s="1" t="s">
        <v>209</v>
      </c>
      <c r="X2" s="1" t="s">
        <v>210</v>
      </c>
      <c r="Y2" s="1" t="s">
        <v>211</v>
      </c>
      <c r="Z2" s="1" t="s">
        <v>212</v>
      </c>
      <c r="AA2" s="1" t="s">
        <v>228</v>
      </c>
      <c r="AB2" s="1" t="s">
        <v>229</v>
      </c>
      <c r="AC2" s="1"/>
      <c r="AD2" s="1"/>
      <c r="AF2" t="s">
        <v>209</v>
      </c>
      <c r="AG2" t="s">
        <v>210</v>
      </c>
      <c r="AH2" t="s">
        <v>209</v>
      </c>
      <c r="AI2" t="s">
        <v>210</v>
      </c>
      <c r="AJ2" t="s">
        <v>209</v>
      </c>
      <c r="AK2" t="s">
        <v>210</v>
      </c>
      <c r="AL2" t="s">
        <v>209</v>
      </c>
      <c r="AM2" t="s">
        <v>210</v>
      </c>
      <c r="AN2" t="s">
        <v>211</v>
      </c>
      <c r="AO2" t="s">
        <v>212</v>
      </c>
      <c r="AP2" t="s">
        <v>211</v>
      </c>
      <c r="AQ2" t="s">
        <v>212</v>
      </c>
      <c r="AR2" t="s">
        <v>211</v>
      </c>
      <c r="AS2" t="s">
        <v>212</v>
      </c>
      <c r="AT2" t="s">
        <v>211</v>
      </c>
      <c r="AU2" t="s">
        <v>212</v>
      </c>
      <c r="AV2" t="s">
        <v>228</v>
      </c>
      <c r="AW2" t="s">
        <v>229</v>
      </c>
      <c r="AX2" t="s">
        <v>228</v>
      </c>
      <c r="AY2" t="s">
        <v>229</v>
      </c>
      <c r="AZ2" t="s">
        <v>228</v>
      </c>
      <c r="BA2" t="s">
        <v>229</v>
      </c>
      <c r="BB2" t="s">
        <v>228</v>
      </c>
      <c r="BC2" t="s">
        <v>229</v>
      </c>
      <c r="BF2" t="s">
        <v>264</v>
      </c>
      <c r="BG2" t="s">
        <v>263</v>
      </c>
      <c r="BK2" s="74" t="s">
        <v>294</v>
      </c>
      <c r="BL2" s="74" t="s">
        <v>295</v>
      </c>
      <c r="BM2" s="75" t="s">
        <v>303</v>
      </c>
      <c r="BN2" s="75" t="s">
        <v>304</v>
      </c>
      <c r="BO2" s="77" t="s">
        <v>307</v>
      </c>
      <c r="BP2" s="77" t="s">
        <v>308</v>
      </c>
      <c r="BQ2" s="79" t="s">
        <v>314</v>
      </c>
      <c r="BR2" s="79" t="s">
        <v>315</v>
      </c>
      <c r="BT2" t="str">
        <f>IF('Coach Card'!E20="H",AF3,IF('Coach Card'!E20=3,AA4,IF('Coach Card'!E20="A",BK3,IF('Coach Card'!E20="B",BM3,IF('Coach Card'!E20="C",BO3,IF('Coach Card'!E20="P",BQ3,IF('Coach Card'!H19="A-Pair",BF4,"")))))))</f>
        <v/>
      </c>
      <c r="CD2" t="s">
        <v>852</v>
      </c>
      <c r="CE2" t="s">
        <v>1272</v>
      </c>
      <c r="CF2" t="s">
        <v>1064</v>
      </c>
    </row>
    <row r="3" spans="1:84" x14ac:dyDescent="0.2">
      <c r="A3" t="s">
        <v>9</v>
      </c>
      <c r="C3" t="s">
        <v>21</v>
      </c>
      <c r="D3" t="e">
        <f>'Coach Card'!$AS$15*10+1</f>
        <v>#VALUE!</v>
      </c>
      <c r="E3" t="e">
        <f ca="1">IF(OFFSET($D$1,D3-1,1)&lt;&gt;"",OFFSET($D$1,D3-1,1),"")</f>
        <v>#VALUE!</v>
      </c>
      <c r="F3" s="2">
        <v>1.0013888888888889</v>
      </c>
      <c r="G3" t="s">
        <v>35</v>
      </c>
      <c r="H3" s="1"/>
      <c r="I3" s="1">
        <v>5</v>
      </c>
      <c r="J3" s="1"/>
      <c r="K3" s="1"/>
      <c r="L3" s="1"/>
      <c r="M3" s="1"/>
      <c r="N3" s="1"/>
      <c r="O3" s="1"/>
      <c r="P3" s="1"/>
      <c r="Q3" s="1"/>
      <c r="R3" s="1"/>
      <c r="S3">
        <f>SUM(H3:R3)</f>
        <v>5</v>
      </c>
      <c r="T3">
        <v>1</v>
      </c>
      <c r="U3" s="1" t="s">
        <v>231</v>
      </c>
      <c r="W3" s="1"/>
      <c r="X3" s="1"/>
      <c r="Y3" s="1"/>
      <c r="Z3" s="1"/>
      <c r="AA3" s="1"/>
      <c r="AB3" s="1"/>
      <c r="AC3" s="1"/>
      <c r="AD3" s="1"/>
      <c r="AF3" t="s">
        <v>98</v>
      </c>
      <c r="AG3" s="3">
        <v>0.15</v>
      </c>
      <c r="AH3" t="s">
        <v>98</v>
      </c>
      <c r="AI3" s="3">
        <v>0.15</v>
      </c>
      <c r="AJ3" t="s">
        <v>98</v>
      </c>
      <c r="AK3" s="3">
        <v>0.15</v>
      </c>
      <c r="AL3" t="s">
        <v>98</v>
      </c>
      <c r="AM3" s="3">
        <v>0.15</v>
      </c>
      <c r="AN3" t="s">
        <v>213</v>
      </c>
      <c r="AO3" s="3">
        <v>0.15</v>
      </c>
      <c r="AP3" t="s">
        <v>213</v>
      </c>
      <c r="AQ3" s="3">
        <v>0.15</v>
      </c>
      <c r="AR3" t="s">
        <v>213</v>
      </c>
      <c r="AS3" s="3">
        <v>0.15</v>
      </c>
      <c r="AT3" t="s">
        <v>213</v>
      </c>
      <c r="AU3" s="3">
        <v>0.15</v>
      </c>
      <c r="AV3" s="1" t="s">
        <v>230</v>
      </c>
      <c r="AW3" s="4">
        <v>2.7</v>
      </c>
      <c r="AX3" s="1" t="s">
        <v>230</v>
      </c>
      <c r="AY3" s="4">
        <v>3</v>
      </c>
      <c r="AZ3" s="1" t="s">
        <v>230</v>
      </c>
      <c r="BA3" s="4">
        <v>2.7</v>
      </c>
      <c r="BB3" s="1" t="s">
        <v>230</v>
      </c>
      <c r="BC3" s="4">
        <v>2.5</v>
      </c>
      <c r="BD3" s="1"/>
      <c r="BE3" s="1"/>
      <c r="BJ3" s="8">
        <v>1</v>
      </c>
      <c r="BK3" s="74" t="s">
        <v>296</v>
      </c>
      <c r="BL3" s="74">
        <v>0</v>
      </c>
      <c r="BM3" s="75" t="s">
        <v>300</v>
      </c>
      <c r="BN3" s="75">
        <v>0</v>
      </c>
      <c r="BO3" s="77" t="s">
        <v>309</v>
      </c>
      <c r="BP3" s="77">
        <v>0</v>
      </c>
      <c r="BQ3" s="79" t="s">
        <v>316</v>
      </c>
      <c r="BR3" s="79">
        <v>0</v>
      </c>
      <c r="BT3" t="str">
        <f>IF('Coach Card'!E21="H",AF4,IF('Coach Card'!E21=3,AA5,IF('Coach Card'!E21="A",BK4,IF('Coach Card'!E21="B",BM4,IF('Coach Card'!E21="C",BO4,IF('Coach Card'!E21="P",BQ4,IF('Coach Card'!H20="A-Pair",BF5,"")))))))</f>
        <v/>
      </c>
      <c r="CD3" t="s">
        <v>853</v>
      </c>
      <c r="CE3" t="s">
        <v>1273</v>
      </c>
      <c r="CF3" t="s">
        <v>1065</v>
      </c>
    </row>
    <row r="4" spans="1:84" x14ac:dyDescent="0.25">
      <c r="A4" t="s">
        <v>10</v>
      </c>
      <c r="C4" t="s">
        <v>22</v>
      </c>
      <c r="D4" t="e">
        <f>'Coach Card'!$AS$15*10+2</f>
        <v>#VALUE!</v>
      </c>
      <c r="E4" t="e">
        <f t="shared" ref="E4:E10" ca="1" si="0">IF(OFFSET($D$1,D4-1,1)&lt;&gt;"",OFFSET($D$1,D4-1,1),"")</f>
        <v>#VALUE!</v>
      </c>
      <c r="F4" s="2">
        <v>1.0013888888888889</v>
      </c>
      <c r="G4" t="s">
        <v>36</v>
      </c>
      <c r="H4" s="1"/>
      <c r="I4" s="1">
        <v>5</v>
      </c>
      <c r="J4" s="1"/>
      <c r="K4" s="1"/>
      <c r="L4" s="1"/>
      <c r="M4" s="1"/>
      <c r="N4" s="1"/>
      <c r="O4" s="1"/>
      <c r="P4" s="1"/>
      <c r="Q4" s="1"/>
      <c r="R4" s="1"/>
      <c r="S4">
        <f t="shared" ref="S4:S36" si="1">SUM(H4:R4)</f>
        <v>5</v>
      </c>
      <c r="T4">
        <v>1</v>
      </c>
      <c r="U4" s="1" t="s">
        <v>231</v>
      </c>
      <c r="W4" s="3" t="e">
        <f>IF($W$1="Solo",IF(AF3="","",AF3),IF($W$1="Duet",IF(AH3="","",AH3),IF($W$1="Mixed",IF(AJ3="","",AJ3),IF(AL3="","",AL3))))</f>
        <v>#N/A</v>
      </c>
      <c r="X4" s="3" t="e">
        <f>IF($W$1="Solo",IF(AG3="","",AG3),IF($W$1="Duet",IF(AI3="","",AI3),IF($W$1="Mixed",IF(AK3="","",AK3),IF(AM3="","",AM3))))</f>
        <v>#N/A</v>
      </c>
      <c r="Y4" s="3" t="e">
        <f>IF($W$1="Solo",IF(AN3="","",AN3),IF($W$1="Duet",IF(AP3="","",AP3),IF($W$1="Mixed",IF(AR3="","",AR3),IF(AT3="","",AT3))))</f>
        <v>#N/A</v>
      </c>
      <c r="Z4" s="3" t="e">
        <f>IF($W$1="Solo",IF(AO3="","",AO3),IF($W$1="Duet",IF(AQ3="","",AQ3),IF($W$1="Mixed",IF(AS3="","",AS3),IF(AU3="","",AU3))))</f>
        <v>#N/A</v>
      </c>
      <c r="AA4" s="3" t="e">
        <f>IF($W$1="Solo",IF(AV3="","",AV3),IF($W$1="Duet",IF(AX3="","",AX3),IF($W$1="Mixed",IF(AZ3="","",AZ3),IF(BB3="","",BB3))))</f>
        <v>#N/A</v>
      </c>
      <c r="AB4" s="3" t="e">
        <f>IF($W$1="Solo",IF(AW3="","",AW3),IF($W$1="Duet",IF(AY3="","",AY3),IF($W$1="Mixed",IF(BA3="","",BA3),IF(BC3="","",BC3))))</f>
        <v>#N/A</v>
      </c>
      <c r="AC4" s="3" t="str">
        <f>IFERROR(IF(AA4&lt;&gt;"",COUNTIF('Coach Card'!$CE$19:$CE$68,_xlfn.NUMBERVALUE(LEFT(AA4,1))),""),"")</f>
        <v/>
      </c>
      <c r="AD4" s="3" t="str">
        <f>IFERROR(IF(AC4&gt;1,AA4,""),"")</f>
        <v/>
      </c>
      <c r="AF4" t="s">
        <v>99</v>
      </c>
      <c r="AG4" s="3">
        <v>0.3</v>
      </c>
      <c r="AH4" t="s">
        <v>99</v>
      </c>
      <c r="AI4" s="3">
        <v>0.3</v>
      </c>
      <c r="AJ4" t="s">
        <v>99</v>
      </c>
      <c r="AK4" s="3">
        <v>0.3</v>
      </c>
      <c r="AL4" t="s">
        <v>99</v>
      </c>
      <c r="AM4" s="3">
        <v>0.3</v>
      </c>
      <c r="AN4" t="s">
        <v>214</v>
      </c>
      <c r="AO4" s="3">
        <v>7.4999999999999997E-2</v>
      </c>
      <c r="AP4" t="s">
        <v>214</v>
      </c>
      <c r="AQ4" s="3">
        <v>7.4999999999999997E-2</v>
      </c>
      <c r="AR4" t="s">
        <v>214</v>
      </c>
      <c r="AS4" s="3">
        <v>7.4999999999999997E-2</v>
      </c>
      <c r="AT4" t="s">
        <v>214</v>
      </c>
      <c r="AU4" s="3">
        <v>7.4999999999999997E-2</v>
      </c>
      <c r="AV4" s="1" t="s">
        <v>235</v>
      </c>
      <c r="AW4" s="4">
        <v>2.1</v>
      </c>
      <c r="AX4" s="1" t="s">
        <v>235</v>
      </c>
      <c r="AY4" s="4">
        <v>2.5</v>
      </c>
      <c r="AZ4" s="1" t="s">
        <v>235</v>
      </c>
      <c r="BA4" s="4">
        <v>2.5</v>
      </c>
      <c r="BB4" s="1" t="s">
        <v>235</v>
      </c>
      <c r="BC4" s="4">
        <v>2.2999999999999998</v>
      </c>
      <c r="BD4" s="1"/>
      <c r="BE4" s="1"/>
      <c r="BF4" t="s">
        <v>397</v>
      </c>
      <c r="BG4" s="7">
        <v>0.1</v>
      </c>
      <c r="BK4" s="74" t="s">
        <v>297</v>
      </c>
      <c r="BL4" s="74">
        <v>0</v>
      </c>
      <c r="BM4" s="75" t="s">
        <v>301</v>
      </c>
      <c r="BN4" s="75">
        <v>0</v>
      </c>
      <c r="BO4" s="77" t="s">
        <v>310</v>
      </c>
      <c r="BP4" s="77">
        <v>0</v>
      </c>
      <c r="BQ4" s="79" t="s">
        <v>317</v>
      </c>
      <c r="BR4" s="79">
        <v>0</v>
      </c>
      <c r="BT4" t="str">
        <f>IF('Coach Card'!E22="H",AF5,IF('Coach Card'!E22=3,AA6,IF('Coach Card'!E22="A",BK5,IF('Coach Card'!E22="B",BM5,IF('Coach Card'!E22="C",BO5,IF('Coach Card'!E22="P",BQ5,IF('Coach Card'!H21="A-Pair",BF6,"")))))))</f>
        <v/>
      </c>
      <c r="CD4" t="s">
        <v>854</v>
      </c>
      <c r="CE4" t="s">
        <v>1429</v>
      </c>
      <c r="CF4" t="s">
        <v>1066</v>
      </c>
    </row>
    <row r="5" spans="1:84" x14ac:dyDescent="0.25">
      <c r="A5" t="s">
        <v>3</v>
      </c>
      <c r="C5" t="s">
        <v>23</v>
      </c>
      <c r="D5" t="e">
        <f>'Coach Card'!$AS$15*10+3</f>
        <v>#VALUE!</v>
      </c>
      <c r="E5" t="e">
        <f t="shared" ca="1" si="0"/>
        <v>#VALUE!</v>
      </c>
      <c r="F5" s="2">
        <v>1.0017361111111112</v>
      </c>
      <c r="G5" t="s">
        <v>37</v>
      </c>
      <c r="H5" s="1"/>
      <c r="I5" s="1">
        <v>5</v>
      </c>
      <c r="J5" s="1">
        <v>1</v>
      </c>
      <c r="K5" s="1"/>
      <c r="L5" s="1"/>
      <c r="M5" s="1"/>
      <c r="N5" s="1"/>
      <c r="O5" s="1"/>
      <c r="P5" s="1"/>
      <c r="Q5" s="1"/>
      <c r="R5" s="1"/>
      <c r="S5">
        <f t="shared" si="1"/>
        <v>6</v>
      </c>
      <c r="T5">
        <v>2</v>
      </c>
      <c r="U5" s="1" t="s">
        <v>232</v>
      </c>
      <c r="W5" s="3" t="e">
        <f t="shared" ref="W5:W68" si="2">IF($W$1="Solo",IF(AF4="","",AF4),IF($W$1="Duet",IF(AH4="","",AH4),IF($W$1="Mixed",IF(AJ4="","",AJ4),IF(AL4="","",AL4))))</f>
        <v>#N/A</v>
      </c>
      <c r="X5" s="3" t="e">
        <f t="shared" ref="X5:X68" si="3">IF($W$1="Solo",IF(AG4="","",AG4),IF($W$1="Duet",IF(AI4="","",AI4),IF($W$1="Mixed",IF(AK4="","",AK4),IF(AM4="","",AM4))))</f>
        <v>#N/A</v>
      </c>
      <c r="Y5" s="3" t="e">
        <f t="shared" ref="Y5:Y68" si="4">IF($W$1="Solo",IF(AN4="","",AN4),IF($W$1="Duet",IF(AP4="","",AP4),IF($W$1="Mixed",IF(AR4="","",AR4),IF(AT4="","",AT4))))</f>
        <v>#N/A</v>
      </c>
      <c r="Z5" s="3" t="e">
        <f t="shared" ref="Z5:Z68" si="5">IF($W$1="Solo",IF(AO4="","",AO4),IF($W$1="Duet",IF(AQ4="","",AQ4),IF($W$1="Mixed",IF(AS4="","",AS4),IF(AU4="","",AU4))))</f>
        <v>#N/A</v>
      </c>
      <c r="AA5" s="3" t="e">
        <f t="shared" ref="AA5:AA13" si="6">IF($W$1="Solo",IF(AV4="","",AV4),IF($W$1="Duet",IF(AX4="","",AX4),IF($W$1="Mixed",IF(AZ4="","",AZ4),IF(BB4="","",BB4))))</f>
        <v>#N/A</v>
      </c>
      <c r="AB5" s="3" t="e">
        <f t="shared" ref="AB5:AB13" si="7">IF($W$1="Solo",IF(AW4="","",AW4),IF($W$1="Duet",IF(AY4="","",AY4),IF($W$1="Mixed",IF(BA4="","",BA4),IF(BC4="","",BC4))))</f>
        <v>#N/A</v>
      </c>
      <c r="AC5" s="3" t="str">
        <f>IFERROR(IF(AA5&lt;&gt;"",COUNTIF('Coach Card'!$CE$19:$CE$68,_xlfn.NUMBERVALUE(LEFT(AA5,1))),""),"")</f>
        <v/>
      </c>
      <c r="AD5" s="3" t="str">
        <f t="shared" ref="AD5:AD13" si="8">IFERROR(IF(AC5&gt;1,AA5,""),"")</f>
        <v/>
      </c>
      <c r="AF5" t="s">
        <v>100</v>
      </c>
      <c r="AG5" s="3">
        <v>0.35</v>
      </c>
      <c r="AH5" t="s">
        <v>100</v>
      </c>
      <c r="AI5" s="3">
        <v>0.35</v>
      </c>
      <c r="AJ5" t="s">
        <v>100</v>
      </c>
      <c r="AK5" s="3">
        <v>0.35</v>
      </c>
      <c r="AL5" t="s">
        <v>100</v>
      </c>
      <c r="AM5" s="3">
        <v>0.35</v>
      </c>
      <c r="AN5" t="s">
        <v>215</v>
      </c>
      <c r="AO5" s="3">
        <v>4.4999999999999998E-2</v>
      </c>
      <c r="AP5" t="s">
        <v>215</v>
      </c>
      <c r="AQ5" s="3">
        <v>4.4999999999999998E-2</v>
      </c>
      <c r="AR5" t="s">
        <v>215</v>
      </c>
      <c r="AS5" s="3">
        <v>4.4999999999999998E-2</v>
      </c>
      <c r="AT5" t="s">
        <v>215</v>
      </c>
      <c r="AU5" s="3">
        <v>4.4999999999999998E-2</v>
      </c>
      <c r="AV5" s="1" t="s">
        <v>236</v>
      </c>
      <c r="AW5" s="4">
        <v>3</v>
      </c>
      <c r="AX5" s="1" t="s">
        <v>236</v>
      </c>
      <c r="AY5" s="4">
        <v>2.8</v>
      </c>
      <c r="AZ5" s="1" t="s">
        <v>236</v>
      </c>
      <c r="BA5" s="4">
        <v>2.4</v>
      </c>
      <c r="BB5" s="1" t="s">
        <v>236</v>
      </c>
      <c r="BC5" s="4">
        <v>2.6</v>
      </c>
      <c r="BD5" s="1"/>
      <c r="BE5" s="1"/>
      <c r="BF5" t="s">
        <v>1532</v>
      </c>
      <c r="BG5" s="7">
        <v>0.2</v>
      </c>
      <c r="BK5" s="74"/>
      <c r="BL5" s="74"/>
      <c r="BM5" s="75"/>
      <c r="BN5" s="75"/>
      <c r="BO5" s="77" t="s">
        <v>311</v>
      </c>
      <c r="BP5" s="77">
        <v>0</v>
      </c>
      <c r="BQ5" s="79"/>
      <c r="BR5" s="79"/>
      <c r="BT5" t="str">
        <f>IF('Coach Card'!E23="H",AF6,IF('Coach Card'!E23=3,AA7,IF('Coach Card'!E23="A",BK6,IF('Coach Card'!E23="B",BM6,IF('Coach Card'!E23="C",BO6,IF('Coach Card'!E23="P",BQ6,IF('Coach Card'!H22="A-Pair",BF7,"")))))))</f>
        <v/>
      </c>
      <c r="CD5" t="s">
        <v>855</v>
      </c>
      <c r="CE5" t="s">
        <v>1274</v>
      </c>
      <c r="CF5" t="s">
        <v>1067</v>
      </c>
    </row>
    <row r="6" spans="1:84" x14ac:dyDescent="0.2">
      <c r="A6" t="s">
        <v>11</v>
      </c>
      <c r="C6" t="s">
        <v>5</v>
      </c>
      <c r="D6" t="e">
        <f>'Coach Card'!$AS$15*10+4</f>
        <v>#VALUE!</v>
      </c>
      <c r="E6" t="e">
        <f t="shared" ca="1" si="0"/>
        <v>#VALUE!</v>
      </c>
      <c r="F6" s="2">
        <v>1.0017361111111112</v>
      </c>
      <c r="G6" t="s">
        <v>38</v>
      </c>
      <c r="H6" s="1"/>
      <c r="I6" s="1">
        <v>4</v>
      </c>
      <c r="J6" s="1">
        <v>1</v>
      </c>
      <c r="K6" s="1">
        <v>1</v>
      </c>
      <c r="L6" s="1"/>
      <c r="M6" s="1"/>
      <c r="N6" s="1"/>
      <c r="O6" s="1"/>
      <c r="P6" s="1"/>
      <c r="Q6" s="1">
        <v>2</v>
      </c>
      <c r="R6" s="1"/>
      <c r="S6">
        <f t="shared" si="1"/>
        <v>8</v>
      </c>
      <c r="T6">
        <v>3</v>
      </c>
      <c r="U6" s="1" t="s">
        <v>233</v>
      </c>
      <c r="W6" s="3" t="e">
        <f t="shared" si="2"/>
        <v>#N/A</v>
      </c>
      <c r="X6" s="3" t="e">
        <f t="shared" si="3"/>
        <v>#N/A</v>
      </c>
      <c r="Y6" s="3" t="e">
        <f t="shared" si="4"/>
        <v>#N/A</v>
      </c>
      <c r="Z6" s="3" t="e">
        <f t="shared" si="5"/>
        <v>#N/A</v>
      </c>
      <c r="AA6" s="3" t="e">
        <f>IF($W$1="Solo",IF(AV5="","",AV5),IF($W$1="Duet",IF(AX5="","",AX5),IF($W$1="Mixed",IF(AZ5="","",AZ5),IF(BB5="","",BB5))))</f>
        <v>#N/A</v>
      </c>
      <c r="AB6" s="3" t="e">
        <f t="shared" si="7"/>
        <v>#N/A</v>
      </c>
      <c r="AC6" s="3" t="str">
        <f>IFERROR(IF(AA6&lt;&gt;"",COUNTIF('Coach Card'!$CE$19:$CE$68,_xlfn.NUMBERVALUE(LEFT(AA6,1))),""),"")</f>
        <v/>
      </c>
      <c r="AD6" s="3" t="str">
        <f t="shared" si="8"/>
        <v/>
      </c>
      <c r="AF6" t="s">
        <v>101</v>
      </c>
      <c r="AG6" s="3">
        <v>0.4</v>
      </c>
      <c r="AH6" t="s">
        <v>101</v>
      </c>
      <c r="AI6" s="3">
        <v>0.4</v>
      </c>
      <c r="AJ6" t="s">
        <v>101</v>
      </c>
      <c r="AK6" s="3">
        <v>0.4</v>
      </c>
      <c r="AL6" t="s">
        <v>101</v>
      </c>
      <c r="AM6" s="3">
        <v>0.4</v>
      </c>
      <c r="AN6" t="s">
        <v>216</v>
      </c>
      <c r="AO6" s="3">
        <v>0.2</v>
      </c>
      <c r="AP6" t="s">
        <v>216</v>
      </c>
      <c r="AQ6" s="3">
        <v>0.2</v>
      </c>
      <c r="AR6" t="s">
        <v>216</v>
      </c>
      <c r="AS6" s="3">
        <v>0.2</v>
      </c>
      <c r="AT6" t="s">
        <v>216</v>
      </c>
      <c r="AU6" s="3">
        <v>0.2</v>
      </c>
      <c r="AV6" s="1" t="s">
        <v>237</v>
      </c>
      <c r="AW6" s="4">
        <v>2.7</v>
      </c>
      <c r="AX6" s="1" t="s">
        <v>237</v>
      </c>
      <c r="AY6" s="4">
        <v>2.4</v>
      </c>
      <c r="AZ6" s="1" t="s">
        <v>237</v>
      </c>
      <c r="BA6" s="4">
        <v>2.2000000000000002</v>
      </c>
      <c r="BB6" s="1" t="s">
        <v>237</v>
      </c>
      <c r="BC6" s="4">
        <v>2.2999999999999998</v>
      </c>
      <c r="BD6" s="1"/>
      <c r="BE6" s="1"/>
      <c r="BF6" t="s">
        <v>265</v>
      </c>
      <c r="BG6" s="7">
        <v>0.4</v>
      </c>
      <c r="BK6" s="74"/>
      <c r="BL6" s="74"/>
      <c r="BM6" s="75"/>
      <c r="BN6" s="75"/>
      <c r="BO6" s="77"/>
      <c r="BP6" s="77"/>
      <c r="BQ6" s="79"/>
      <c r="BR6" s="79"/>
      <c r="BT6" t="str">
        <f>IF('Coach Card'!E24="H",AF7,IF('Coach Card'!E24=3,AA8,IF('Coach Card'!E24="A",BK7,IF('Coach Card'!E24="B",BM7,IF('Coach Card'!E24="C",BO7,IF('Coach Card'!E24="P",BQ7,IF('Coach Card'!H23="A-Pair",BF8,"")))))))</f>
        <v/>
      </c>
      <c r="CD6" t="s">
        <v>856</v>
      </c>
      <c r="CE6" t="s">
        <v>1275</v>
      </c>
      <c r="CF6" t="s">
        <v>1068</v>
      </c>
    </row>
    <row r="7" spans="1:84" x14ac:dyDescent="0.25">
      <c r="A7" t="s">
        <v>12</v>
      </c>
      <c r="C7" t="s">
        <v>24</v>
      </c>
      <c r="D7" t="e">
        <f>'Coach Card'!$AS$15*10+5</f>
        <v>#VALUE!</v>
      </c>
      <c r="E7" t="e">
        <f t="shared" ca="1" si="0"/>
        <v>#VALUE!</v>
      </c>
      <c r="F7" s="2">
        <v>1.0020833333333334</v>
      </c>
      <c r="G7" t="s">
        <v>39</v>
      </c>
      <c r="H7" s="1"/>
      <c r="I7" s="1">
        <v>6</v>
      </c>
      <c r="J7" s="1">
        <v>3</v>
      </c>
      <c r="K7" s="1"/>
      <c r="L7" s="1"/>
      <c r="M7" s="1"/>
      <c r="N7" s="1"/>
      <c r="O7" s="1"/>
      <c r="P7" s="1"/>
      <c r="Q7" s="1"/>
      <c r="R7" s="1"/>
      <c r="S7">
        <f t="shared" si="1"/>
        <v>9</v>
      </c>
      <c r="T7">
        <v>12</v>
      </c>
      <c r="U7" s="1" t="s">
        <v>234</v>
      </c>
      <c r="W7" s="3" t="e">
        <f t="shared" si="2"/>
        <v>#N/A</v>
      </c>
      <c r="X7" s="3" t="e">
        <f t="shared" si="3"/>
        <v>#N/A</v>
      </c>
      <c r="Y7" s="3" t="e">
        <f t="shared" si="4"/>
        <v>#N/A</v>
      </c>
      <c r="Z7" s="3" t="e">
        <f t="shared" si="5"/>
        <v>#N/A</v>
      </c>
      <c r="AA7" s="3" t="e">
        <f t="shared" si="6"/>
        <v>#N/A</v>
      </c>
      <c r="AB7" s="3" t="e">
        <f t="shared" si="7"/>
        <v>#N/A</v>
      </c>
      <c r="AC7" s="3" t="str">
        <f>IFERROR(IF(AA7&lt;&gt;"",COUNTIF('Coach Card'!$CE$19:$CE$68,_xlfn.NUMBERVALUE(LEFT(AA7,1))),""),"")</f>
        <v/>
      </c>
      <c r="AD7" s="3" t="str">
        <f t="shared" si="8"/>
        <v/>
      </c>
      <c r="AF7" t="s">
        <v>102</v>
      </c>
      <c r="AG7" s="3">
        <v>0.45</v>
      </c>
      <c r="AH7" t="s">
        <v>102</v>
      </c>
      <c r="AI7" s="3">
        <v>0.45</v>
      </c>
      <c r="AJ7" t="s">
        <v>102</v>
      </c>
      <c r="AK7" s="3">
        <v>0.45</v>
      </c>
      <c r="AL7" t="s">
        <v>102</v>
      </c>
      <c r="AM7" s="3">
        <v>0.45</v>
      </c>
      <c r="AN7" t="s">
        <v>217</v>
      </c>
      <c r="AO7" s="3">
        <v>0.1</v>
      </c>
      <c r="AP7" t="s">
        <v>217</v>
      </c>
      <c r="AQ7" s="3">
        <v>0.1</v>
      </c>
      <c r="AR7" t="s">
        <v>217</v>
      </c>
      <c r="AS7" s="3">
        <v>0.1</v>
      </c>
      <c r="AT7" t="s">
        <v>217</v>
      </c>
      <c r="AU7" s="3">
        <v>0.1</v>
      </c>
      <c r="AV7" s="1">
        <v>3</v>
      </c>
      <c r="AW7" s="4">
        <v>3.2</v>
      </c>
      <c r="AX7" s="1" t="s">
        <v>242</v>
      </c>
      <c r="AY7" s="4">
        <v>2.9</v>
      </c>
      <c r="AZ7" s="1">
        <v>3</v>
      </c>
      <c r="BA7" s="4">
        <v>3.3</v>
      </c>
      <c r="BB7" s="1" t="s">
        <v>242</v>
      </c>
      <c r="BC7" s="4">
        <v>2.6</v>
      </c>
      <c r="BD7" s="1"/>
      <c r="BE7" s="1"/>
      <c r="BF7" t="s">
        <v>1533</v>
      </c>
      <c r="BG7" s="7">
        <v>0.4</v>
      </c>
      <c r="BK7" s="74"/>
      <c r="BL7" s="74"/>
      <c r="BM7" s="75"/>
      <c r="BN7" s="75"/>
      <c r="BO7" s="77"/>
      <c r="BP7" s="77"/>
      <c r="BQ7" s="79"/>
      <c r="BR7" s="79"/>
      <c r="BT7" t="str">
        <f>IF('Coach Card'!E25="H",AF8,IF('Coach Card'!E25=3,AA9,IF('Coach Card'!E25="A",BK8,IF('Coach Card'!E25="B",BM8,IF('Coach Card'!E25="C",BO8,IF('Coach Card'!E25="P",BQ8,IF('Coach Card'!H24="A-Pair",BF9,"")))))))</f>
        <v/>
      </c>
      <c r="CD7" t="s">
        <v>857</v>
      </c>
      <c r="CE7" t="s">
        <v>1276</v>
      </c>
      <c r="CF7" t="s">
        <v>1069</v>
      </c>
    </row>
    <row r="8" spans="1:84" x14ac:dyDescent="0.25">
      <c r="A8" t="s">
        <v>13</v>
      </c>
      <c r="D8" t="e">
        <f>'Coach Card'!$AS$15*10+6</f>
        <v>#VALUE!</v>
      </c>
      <c r="E8" t="e">
        <f t="shared" ca="1" si="0"/>
        <v>#VALUE!</v>
      </c>
      <c r="F8" s="2">
        <v>1.0020833333333334</v>
      </c>
      <c r="G8" t="s">
        <v>40</v>
      </c>
      <c r="H8" s="1"/>
      <c r="I8" s="1"/>
      <c r="J8" s="1">
        <v>3</v>
      </c>
      <c r="K8" s="1"/>
      <c r="L8" s="1"/>
      <c r="M8" s="1"/>
      <c r="N8" s="1">
        <v>1</v>
      </c>
      <c r="O8" s="1">
        <v>1</v>
      </c>
      <c r="P8" s="1">
        <v>3</v>
      </c>
      <c r="Q8" s="1"/>
      <c r="R8" s="1"/>
      <c r="S8">
        <f t="shared" si="1"/>
        <v>8</v>
      </c>
      <c r="T8">
        <v>4</v>
      </c>
      <c r="U8" s="1" t="s">
        <v>234</v>
      </c>
      <c r="W8" s="3" t="e">
        <f t="shared" si="2"/>
        <v>#N/A</v>
      </c>
      <c r="X8" s="3" t="e">
        <f t="shared" si="3"/>
        <v>#N/A</v>
      </c>
      <c r="Y8" s="3" t="e">
        <f t="shared" si="4"/>
        <v>#N/A</v>
      </c>
      <c r="Z8" s="3" t="e">
        <f t="shared" si="5"/>
        <v>#N/A</v>
      </c>
      <c r="AA8" s="3" t="e">
        <f t="shared" si="6"/>
        <v>#N/A</v>
      </c>
      <c r="AB8" s="3" t="e">
        <f t="shared" si="7"/>
        <v>#N/A</v>
      </c>
      <c r="AC8" s="3" t="str">
        <f>IFERROR(IF(AA8&lt;&gt;"",COUNTIF('Coach Card'!$CE$19:$CE$68,_xlfn.NUMBERVALUE(LEFT(AA8,1))),""),"")</f>
        <v/>
      </c>
      <c r="AD8" s="3" t="str">
        <f t="shared" si="8"/>
        <v/>
      </c>
      <c r="AF8" t="s">
        <v>103</v>
      </c>
      <c r="AG8" s="3">
        <v>0.5</v>
      </c>
      <c r="AH8" t="s">
        <v>103</v>
      </c>
      <c r="AI8" s="3">
        <v>0.5</v>
      </c>
      <c r="AJ8" t="s">
        <v>103</v>
      </c>
      <c r="AK8" s="3">
        <v>0.5</v>
      </c>
      <c r="AL8" t="s">
        <v>103</v>
      </c>
      <c r="AM8" s="3">
        <v>0.5</v>
      </c>
      <c r="AN8" t="s">
        <v>218</v>
      </c>
      <c r="AO8" s="3">
        <v>0.06</v>
      </c>
      <c r="AP8" t="s">
        <v>218</v>
      </c>
      <c r="AQ8" s="3">
        <v>0.06</v>
      </c>
      <c r="AR8" t="s">
        <v>218</v>
      </c>
      <c r="AS8" s="3">
        <v>0.06</v>
      </c>
      <c r="AT8" t="s">
        <v>218</v>
      </c>
      <c r="AU8" s="3">
        <v>0.06</v>
      </c>
      <c r="AV8" s="1" t="s">
        <v>238</v>
      </c>
      <c r="AW8" s="4">
        <v>2.9</v>
      </c>
      <c r="AX8" s="1" t="s">
        <v>243</v>
      </c>
      <c r="AY8" s="4">
        <v>2.6</v>
      </c>
      <c r="AZ8" s="1" t="s">
        <v>238</v>
      </c>
      <c r="BA8" s="4">
        <v>3</v>
      </c>
      <c r="BB8" s="1" t="s">
        <v>243</v>
      </c>
      <c r="BC8" s="4">
        <v>2.2999999999999998</v>
      </c>
      <c r="BD8" s="1"/>
      <c r="BE8" s="1"/>
      <c r="BF8" t="s">
        <v>1534</v>
      </c>
      <c r="BG8" s="7">
        <v>0.4</v>
      </c>
      <c r="BK8" s="74"/>
      <c r="BL8" s="74"/>
      <c r="BM8" s="75"/>
      <c r="BN8" s="75"/>
      <c r="BO8" s="77"/>
      <c r="BP8" s="77"/>
      <c r="BQ8" s="79"/>
      <c r="BR8" s="79"/>
      <c r="BT8" t="str">
        <f>IF('Coach Card'!E26="H",AF9,IF('Coach Card'!E26=3,AA10,IF('Coach Card'!E26="A",BK9,IF('Coach Card'!E26="B",BM9,IF('Coach Card'!E26="C",BO9,IF('Coach Card'!E26="P",BQ9,IF('Coach Card'!H25="A-Pair",BF10,"")))))))</f>
        <v/>
      </c>
      <c r="CD8" t="s">
        <v>858</v>
      </c>
      <c r="CE8" t="s">
        <v>1430</v>
      </c>
      <c r="CF8" t="s">
        <v>1070</v>
      </c>
    </row>
    <row r="9" spans="1:84" x14ac:dyDescent="0.25">
      <c r="A9" t="s">
        <v>14</v>
      </c>
      <c r="D9" t="e">
        <f>'Coach Card'!$AS$15*10+7</f>
        <v>#VALUE!</v>
      </c>
      <c r="E9" t="e">
        <f t="shared" ca="1" si="0"/>
        <v>#VALUE!</v>
      </c>
      <c r="F9" s="2">
        <v>1.0013888888888889</v>
      </c>
      <c r="G9" t="s">
        <v>41</v>
      </c>
      <c r="H9" s="1"/>
      <c r="I9" s="1">
        <v>6</v>
      </c>
      <c r="J9" s="1"/>
      <c r="K9" s="1"/>
      <c r="L9" s="1"/>
      <c r="M9" s="1"/>
      <c r="N9" s="1"/>
      <c r="O9" s="1"/>
      <c r="P9" s="1"/>
      <c r="Q9" s="1"/>
      <c r="R9" s="1"/>
      <c r="S9">
        <f t="shared" si="1"/>
        <v>6</v>
      </c>
      <c r="T9">
        <v>1</v>
      </c>
      <c r="U9" s="1" t="s">
        <v>231</v>
      </c>
      <c r="W9" s="3" t="e">
        <f t="shared" si="2"/>
        <v>#N/A</v>
      </c>
      <c r="X9" s="3" t="e">
        <f t="shared" si="3"/>
        <v>#N/A</v>
      </c>
      <c r="Y9" s="3" t="e">
        <f t="shared" si="4"/>
        <v>#N/A</v>
      </c>
      <c r="Z9" s="3" t="e">
        <f t="shared" si="5"/>
        <v>#N/A</v>
      </c>
      <c r="AA9" s="3" t="e">
        <f t="shared" si="6"/>
        <v>#N/A</v>
      </c>
      <c r="AB9" s="3" t="e">
        <f t="shared" si="7"/>
        <v>#N/A</v>
      </c>
      <c r="AC9" s="3" t="str">
        <f>IFERROR(IF(AA9&lt;&gt;"",COUNTIF('Coach Card'!$CE$19:$CE$68,_xlfn.NUMBERVALUE(LEFT(AA9,1))),""),"")</f>
        <v/>
      </c>
      <c r="AD9" s="3" t="str">
        <f t="shared" si="8"/>
        <v/>
      </c>
      <c r="AF9" t="s">
        <v>104</v>
      </c>
      <c r="AG9" s="3">
        <v>0.55000000000000004</v>
      </c>
      <c r="AH9" t="s">
        <v>104</v>
      </c>
      <c r="AI9" s="3">
        <v>0.55000000000000004</v>
      </c>
      <c r="AJ9" t="s">
        <v>104</v>
      </c>
      <c r="AK9" s="3">
        <v>0.55000000000000004</v>
      </c>
      <c r="AL9" t="s">
        <v>104</v>
      </c>
      <c r="AM9" s="3">
        <v>0.55000000000000004</v>
      </c>
      <c r="AO9" s="3"/>
      <c r="AQ9" s="3"/>
      <c r="AS9" s="3"/>
      <c r="AT9" t="s">
        <v>219</v>
      </c>
      <c r="AU9" s="3">
        <v>0.1</v>
      </c>
      <c r="AV9" s="1" t="s">
        <v>239</v>
      </c>
      <c r="AW9" s="4">
        <v>2.6</v>
      </c>
      <c r="AX9" s="1" t="s">
        <v>238</v>
      </c>
      <c r="AY9" s="4">
        <v>3.2</v>
      </c>
      <c r="AZ9" s="1" t="s">
        <v>239</v>
      </c>
      <c r="BA9" s="4">
        <v>2.6</v>
      </c>
      <c r="BB9" s="1">
        <v>4</v>
      </c>
      <c r="BC9" s="4">
        <v>2.9</v>
      </c>
      <c r="BD9" s="1"/>
      <c r="BE9" s="1"/>
      <c r="BF9" t="s">
        <v>1535</v>
      </c>
      <c r="BG9" s="7">
        <v>0.6</v>
      </c>
      <c r="BK9" s="74"/>
      <c r="BL9" s="74"/>
      <c r="BM9" s="75"/>
      <c r="BN9" s="75"/>
      <c r="BO9" s="77"/>
      <c r="BP9" s="77"/>
      <c r="BQ9" s="79"/>
      <c r="BR9" s="79"/>
      <c r="BT9" t="str">
        <f>IF('Coach Card'!E27="H",AF10,IF('Coach Card'!E27=3,AA11,IF('Coach Card'!E27="A",BK10,IF('Coach Card'!E27="B",BM10,IF('Coach Card'!E27="C",BO10,IF('Coach Card'!E27="P",BQ10,IF('Coach Card'!H26="A-Pair",BF11,"")))))))</f>
        <v/>
      </c>
      <c r="CD9" t="s">
        <v>859</v>
      </c>
      <c r="CE9" t="s">
        <v>1277</v>
      </c>
      <c r="CF9" t="s">
        <v>1071</v>
      </c>
    </row>
    <row r="10" spans="1:84" x14ac:dyDescent="0.2">
      <c r="A10" t="s">
        <v>15</v>
      </c>
      <c r="C10" t="s">
        <v>21</v>
      </c>
      <c r="D10" t="e">
        <f>'Coach Card'!$AS$15*10+8</f>
        <v>#VALUE!</v>
      </c>
      <c r="E10" t="e">
        <f t="shared" ca="1" si="0"/>
        <v>#VALUE!</v>
      </c>
      <c r="F10" s="2">
        <v>1.0013888888888889</v>
      </c>
      <c r="G10" t="s">
        <v>42</v>
      </c>
      <c r="H10" s="1"/>
      <c r="I10" s="1">
        <v>6</v>
      </c>
      <c r="J10" s="1"/>
      <c r="K10" s="1"/>
      <c r="L10" s="1"/>
      <c r="M10" s="1"/>
      <c r="N10" s="1"/>
      <c r="O10" s="1"/>
      <c r="P10" s="1"/>
      <c r="Q10" s="1"/>
      <c r="R10" s="1"/>
      <c r="S10">
        <f t="shared" si="1"/>
        <v>6</v>
      </c>
      <c r="T10">
        <v>1</v>
      </c>
      <c r="U10" s="1" t="s">
        <v>231</v>
      </c>
      <c r="W10" s="3" t="e">
        <f t="shared" si="2"/>
        <v>#N/A</v>
      </c>
      <c r="X10" s="3" t="e">
        <f t="shared" si="3"/>
        <v>#N/A</v>
      </c>
      <c r="Y10" s="3" t="e">
        <f t="shared" si="4"/>
        <v>#N/A</v>
      </c>
      <c r="Z10" s="3" t="e">
        <f t="shared" si="5"/>
        <v>#N/A</v>
      </c>
      <c r="AA10" s="3" t="e">
        <f t="shared" si="6"/>
        <v>#N/A</v>
      </c>
      <c r="AB10" s="3" t="e">
        <f t="shared" si="7"/>
        <v>#N/A</v>
      </c>
      <c r="AC10" s="3" t="str">
        <f>IFERROR(IF(AA10&lt;&gt;"",COUNTIF('Coach Card'!$CE$19:$CE$68,_xlfn.NUMBERVALUE(LEFT(AA10,1))),""),"")</f>
        <v/>
      </c>
      <c r="AD10" s="3" t="str">
        <f t="shared" si="8"/>
        <v/>
      </c>
      <c r="AF10" t="s">
        <v>105</v>
      </c>
      <c r="AG10" s="3">
        <v>0.6</v>
      </c>
      <c r="AH10" t="s">
        <v>105</v>
      </c>
      <c r="AI10" s="3">
        <v>0.6</v>
      </c>
      <c r="AJ10" t="s">
        <v>105</v>
      </c>
      <c r="AK10" s="3">
        <v>0.6</v>
      </c>
      <c r="AL10" t="s">
        <v>105</v>
      </c>
      <c r="AM10" s="3">
        <v>0.6</v>
      </c>
      <c r="AO10" s="3"/>
      <c r="AQ10" s="3"/>
      <c r="AS10" s="3"/>
      <c r="AT10" t="s">
        <v>220</v>
      </c>
      <c r="AU10" s="3">
        <v>0.05</v>
      </c>
      <c r="AV10" s="1" t="s">
        <v>240</v>
      </c>
      <c r="AW10" s="4">
        <v>2.4</v>
      </c>
      <c r="AX10" s="1" t="s">
        <v>239</v>
      </c>
      <c r="AY10" s="4">
        <v>2.7</v>
      </c>
      <c r="AZ10" s="1" t="s">
        <v>240</v>
      </c>
      <c r="BA10" s="4">
        <v>2.4</v>
      </c>
      <c r="BB10" s="1" t="s">
        <v>240</v>
      </c>
      <c r="BC10" s="4">
        <v>2.4</v>
      </c>
      <c r="BD10" s="1"/>
      <c r="BE10" s="1"/>
      <c r="BF10" t="s">
        <v>267</v>
      </c>
      <c r="BG10" s="7">
        <v>0.6</v>
      </c>
      <c r="BJ10" s="8">
        <v>2</v>
      </c>
      <c r="BK10" s="74" t="s">
        <v>299</v>
      </c>
      <c r="BL10" s="74">
        <v>0.5</v>
      </c>
      <c r="BM10" s="75" t="s">
        <v>305</v>
      </c>
      <c r="BN10" s="75">
        <v>1.05</v>
      </c>
      <c r="BO10" s="77" t="s">
        <v>312</v>
      </c>
      <c r="BP10" s="77">
        <v>1.7</v>
      </c>
      <c r="BQ10" s="79" t="s">
        <v>318</v>
      </c>
      <c r="BR10" s="79">
        <v>1.1000000000000001</v>
      </c>
      <c r="BT10" t="str">
        <f>IF('Coach Card'!E28="H",AF11,IF('Coach Card'!E28=3,AA12,IF('Coach Card'!E28="A",BK11,IF('Coach Card'!E28="B",BM11,IF('Coach Card'!E28="C",BO11,IF('Coach Card'!E28="P",BQ11,IF('Coach Card'!H27="A-Pair",BF12,"")))))))</f>
        <v/>
      </c>
      <c r="BW10" s="99"/>
      <c r="CD10" t="s">
        <v>860</v>
      </c>
      <c r="CE10" t="s">
        <v>1278</v>
      </c>
      <c r="CF10" t="s">
        <v>1072</v>
      </c>
    </row>
    <row r="11" spans="1:84" x14ac:dyDescent="0.25">
      <c r="A11" t="s">
        <v>16</v>
      </c>
      <c r="C11" t="s">
        <v>22</v>
      </c>
      <c r="D11">
        <v>1</v>
      </c>
      <c r="E11" t="s">
        <v>28</v>
      </c>
      <c r="F11" s="2">
        <v>1.0017361111111112</v>
      </c>
      <c r="G11" t="s">
        <v>43</v>
      </c>
      <c r="H11" s="1"/>
      <c r="I11" s="1">
        <v>6</v>
      </c>
      <c r="J11" s="1">
        <v>1</v>
      </c>
      <c r="K11" s="1"/>
      <c r="L11" s="1"/>
      <c r="M11" s="1"/>
      <c r="N11" s="1"/>
      <c r="O11" s="1"/>
      <c r="P11" s="1"/>
      <c r="Q11" s="1"/>
      <c r="R11" s="1"/>
      <c r="S11">
        <f t="shared" si="1"/>
        <v>7</v>
      </c>
      <c r="T11">
        <v>2</v>
      </c>
      <c r="U11" s="1" t="s">
        <v>232</v>
      </c>
      <c r="W11" s="3" t="e">
        <f t="shared" si="2"/>
        <v>#N/A</v>
      </c>
      <c r="X11" s="3" t="e">
        <f t="shared" si="3"/>
        <v>#N/A</v>
      </c>
      <c r="Y11" s="3" t="e">
        <f t="shared" si="4"/>
        <v>#N/A</v>
      </c>
      <c r="Z11" s="3" t="e">
        <f t="shared" si="5"/>
        <v>#N/A</v>
      </c>
      <c r="AA11" s="3" t="e">
        <f t="shared" si="6"/>
        <v>#N/A</v>
      </c>
      <c r="AB11" s="3" t="e">
        <f t="shared" si="7"/>
        <v>#N/A</v>
      </c>
      <c r="AC11" s="3" t="str">
        <f>IFERROR(IF(AA11&lt;&gt;"",COUNTIF('Coach Card'!$CE$19:$CE$68,_xlfn.NUMBERVALUE(LEFT(AA11,1))),""),"")</f>
        <v/>
      </c>
      <c r="AD11" s="3" t="str">
        <f t="shared" si="8"/>
        <v/>
      </c>
      <c r="AF11" t="s">
        <v>106</v>
      </c>
      <c r="AG11" s="3">
        <v>0.65</v>
      </c>
      <c r="AH11" t="s">
        <v>106</v>
      </c>
      <c r="AI11" s="3">
        <v>0.65</v>
      </c>
      <c r="AJ11" t="s">
        <v>106</v>
      </c>
      <c r="AK11" s="3">
        <v>0.65</v>
      </c>
      <c r="AL11" t="s">
        <v>106</v>
      </c>
      <c r="AM11" s="3">
        <v>0.65</v>
      </c>
      <c r="AO11" s="3"/>
      <c r="AQ11" s="3"/>
      <c r="AS11" s="3"/>
      <c r="AT11" t="s">
        <v>221</v>
      </c>
      <c r="AU11" s="3">
        <v>0.03</v>
      </c>
      <c r="AV11" s="1" t="s">
        <v>241</v>
      </c>
      <c r="AW11" s="4">
        <v>2.1</v>
      </c>
      <c r="AX11" s="1" t="s">
        <v>240</v>
      </c>
      <c r="AY11" s="4">
        <v>2.2999999999999998</v>
      </c>
      <c r="AZ11" s="1" t="s">
        <v>241</v>
      </c>
      <c r="BA11" s="4">
        <v>2.1</v>
      </c>
      <c r="BB11" s="1" t="s">
        <v>241</v>
      </c>
      <c r="BC11" s="4">
        <v>2.1</v>
      </c>
      <c r="BD11" s="1"/>
      <c r="BE11" s="1"/>
      <c r="BF11" t="s">
        <v>1536</v>
      </c>
      <c r="BG11" s="7">
        <v>0.6</v>
      </c>
      <c r="BK11" s="74" t="s">
        <v>581</v>
      </c>
      <c r="BL11" s="74">
        <v>0.9</v>
      </c>
      <c r="BM11" s="75" t="s">
        <v>376</v>
      </c>
      <c r="BN11" s="75">
        <v>0.7</v>
      </c>
      <c r="BO11" s="78" t="s">
        <v>344</v>
      </c>
      <c r="BP11" s="77">
        <v>1.65</v>
      </c>
      <c r="BQ11" s="79" t="s">
        <v>319</v>
      </c>
      <c r="BR11" s="79">
        <v>0.85</v>
      </c>
      <c r="CD11" t="s">
        <v>861</v>
      </c>
      <c r="CE11" t="s">
        <v>1279</v>
      </c>
      <c r="CF11" t="s">
        <v>1073</v>
      </c>
    </row>
    <row r="12" spans="1:84" x14ac:dyDescent="0.25">
      <c r="A12" t="s">
        <v>17</v>
      </c>
      <c r="D12">
        <v>1</v>
      </c>
      <c r="E12" t="s">
        <v>26</v>
      </c>
      <c r="F12" s="2">
        <v>1.0017361111111112</v>
      </c>
      <c r="G12" t="s">
        <v>44</v>
      </c>
      <c r="H12" s="1"/>
      <c r="I12" s="1">
        <v>5</v>
      </c>
      <c r="J12" s="1">
        <v>1</v>
      </c>
      <c r="K12" s="1">
        <v>1</v>
      </c>
      <c r="L12" s="1"/>
      <c r="M12" s="1"/>
      <c r="N12" s="1"/>
      <c r="O12" s="1"/>
      <c r="P12" s="1"/>
      <c r="Q12" s="1">
        <v>2</v>
      </c>
      <c r="R12" s="1"/>
      <c r="S12">
        <f t="shared" si="1"/>
        <v>9</v>
      </c>
      <c r="T12">
        <v>3</v>
      </c>
      <c r="U12" s="1" t="s">
        <v>233</v>
      </c>
      <c r="W12" s="3" t="e">
        <f t="shared" si="2"/>
        <v>#N/A</v>
      </c>
      <c r="X12" s="3" t="e">
        <f t="shared" si="3"/>
        <v>#N/A</v>
      </c>
      <c r="Y12" s="3" t="e">
        <f t="shared" si="4"/>
        <v>#N/A</v>
      </c>
      <c r="Z12" s="3" t="e">
        <f t="shared" si="5"/>
        <v>#N/A</v>
      </c>
      <c r="AA12" s="3" t="e">
        <f t="shared" si="6"/>
        <v>#N/A</v>
      </c>
      <c r="AB12" s="3" t="e">
        <f t="shared" si="7"/>
        <v>#N/A</v>
      </c>
      <c r="AC12" s="3" t="str">
        <f>IFERROR(IF(AA12&lt;&gt;"",COUNTIF('Coach Card'!$CE$19:$CE$68,_xlfn.NUMBERVALUE(LEFT(AA12,1))),""),"")</f>
        <v/>
      </c>
      <c r="AD12" s="3" t="str">
        <f t="shared" si="8"/>
        <v/>
      </c>
      <c r="AF12" t="s">
        <v>107</v>
      </c>
      <c r="AG12" s="3">
        <v>7.4999999999999997E-2</v>
      </c>
      <c r="AH12" t="s">
        <v>107</v>
      </c>
      <c r="AI12" s="3">
        <v>7.4999999999999997E-2</v>
      </c>
      <c r="AJ12" t="s">
        <v>107</v>
      </c>
      <c r="AK12" s="3">
        <v>7.4999999999999997E-2</v>
      </c>
      <c r="AL12" t="s">
        <v>107</v>
      </c>
      <c r="AM12" s="3">
        <v>7.4999999999999997E-2</v>
      </c>
      <c r="AO12" s="3"/>
      <c r="AQ12" s="3"/>
      <c r="AS12" s="3"/>
      <c r="AT12" t="s">
        <v>222</v>
      </c>
      <c r="AU12" s="3">
        <v>0.2</v>
      </c>
      <c r="AV12" s="1"/>
      <c r="AW12" s="1"/>
      <c r="AX12" s="1" t="s">
        <v>241</v>
      </c>
      <c r="AY12" s="4">
        <v>2.1</v>
      </c>
      <c r="AZ12" s="1"/>
      <c r="BA12" s="1"/>
      <c r="BB12" s="1"/>
      <c r="BC12" s="1"/>
      <c r="BD12" s="1"/>
      <c r="BE12" s="1"/>
      <c r="BF12" t="s">
        <v>1537</v>
      </c>
      <c r="BG12" s="7">
        <v>0.6</v>
      </c>
      <c r="BK12" s="74" t="s">
        <v>582</v>
      </c>
      <c r="BL12" s="74">
        <v>1.25</v>
      </c>
      <c r="BM12" s="75" t="s">
        <v>377</v>
      </c>
      <c r="BN12" s="75">
        <v>1.35</v>
      </c>
      <c r="BO12" s="78" t="s">
        <v>342</v>
      </c>
      <c r="BP12" s="77">
        <v>1.55</v>
      </c>
      <c r="BQ12" s="79" t="s">
        <v>320</v>
      </c>
      <c r="BR12" s="79">
        <v>1.1499999999999999</v>
      </c>
      <c r="CD12" t="s">
        <v>862</v>
      </c>
      <c r="CE12" t="s">
        <v>1280</v>
      </c>
      <c r="CF12" t="s">
        <v>1074</v>
      </c>
    </row>
    <row r="13" spans="1:84" x14ac:dyDescent="0.25">
      <c r="A13" t="s">
        <v>18</v>
      </c>
      <c r="F13" s="2">
        <v>1.0020833333333334</v>
      </c>
      <c r="G13" t="s">
        <v>45</v>
      </c>
      <c r="H13" s="1"/>
      <c r="I13" s="1">
        <v>4</v>
      </c>
      <c r="J13" s="1">
        <v>3</v>
      </c>
      <c r="K13" s="1"/>
      <c r="L13" s="1">
        <v>1</v>
      </c>
      <c r="M13" s="1">
        <v>1</v>
      </c>
      <c r="N13" s="1"/>
      <c r="O13" s="1"/>
      <c r="P13" s="1"/>
      <c r="Q13" s="1"/>
      <c r="R13" s="1"/>
      <c r="S13">
        <f t="shared" si="1"/>
        <v>9</v>
      </c>
      <c r="T13">
        <v>5</v>
      </c>
      <c r="U13" s="1" t="s">
        <v>234</v>
      </c>
      <c r="W13" s="3" t="e">
        <f t="shared" si="2"/>
        <v>#N/A</v>
      </c>
      <c r="X13" s="3" t="e">
        <f t="shared" si="3"/>
        <v>#N/A</v>
      </c>
      <c r="Y13" s="3" t="e">
        <f t="shared" si="4"/>
        <v>#N/A</v>
      </c>
      <c r="Z13" s="3" t="e">
        <f t="shared" si="5"/>
        <v>#N/A</v>
      </c>
      <c r="AA13" s="3" t="e">
        <f t="shared" si="6"/>
        <v>#N/A</v>
      </c>
      <c r="AB13" s="3" t="e">
        <f t="shared" si="7"/>
        <v>#N/A</v>
      </c>
      <c r="AC13" s="3" t="str">
        <f>IFERROR(IF(AA13&lt;&gt;"",COUNTIF('Coach Card'!$CE$19:$CE$68,_xlfn.NUMBERVALUE(LEFT(AA13,1))),""),"")</f>
        <v/>
      </c>
      <c r="AD13" s="3" t="str">
        <f t="shared" si="8"/>
        <v/>
      </c>
      <c r="AF13" t="s">
        <v>108</v>
      </c>
      <c r="AG13" s="3">
        <v>0.15</v>
      </c>
      <c r="AH13" t="s">
        <v>108</v>
      </c>
      <c r="AI13" s="3">
        <v>0.15</v>
      </c>
      <c r="AJ13" t="s">
        <v>108</v>
      </c>
      <c r="AK13" s="3">
        <v>0.15</v>
      </c>
      <c r="AL13" t="s">
        <v>108</v>
      </c>
      <c r="AM13" s="3">
        <v>0.15</v>
      </c>
      <c r="AO13" s="3"/>
      <c r="AQ13" s="3"/>
      <c r="AS13" s="3"/>
      <c r="AT13" t="s">
        <v>223</v>
      </c>
      <c r="AU13" s="3">
        <v>0.1</v>
      </c>
      <c r="BE13" s="7"/>
      <c r="BF13" t="s">
        <v>268</v>
      </c>
      <c r="BG13" s="7">
        <v>0.6</v>
      </c>
      <c r="BK13" s="74" t="s">
        <v>583</v>
      </c>
      <c r="BL13" s="74">
        <v>1</v>
      </c>
      <c r="BM13" s="75" t="s">
        <v>378</v>
      </c>
      <c r="BN13" s="75">
        <v>0.9</v>
      </c>
      <c r="BO13" s="78" t="s">
        <v>345</v>
      </c>
      <c r="BP13" s="77">
        <v>1.55</v>
      </c>
      <c r="BQ13" s="79" t="s">
        <v>321</v>
      </c>
      <c r="BR13" s="79">
        <v>1.3</v>
      </c>
      <c r="CD13" t="s">
        <v>863</v>
      </c>
      <c r="CE13" t="s">
        <v>1281</v>
      </c>
      <c r="CF13" t="s">
        <v>1075</v>
      </c>
    </row>
    <row r="14" spans="1:84" x14ac:dyDescent="0.25">
      <c r="A14" t="s">
        <v>19</v>
      </c>
      <c r="C14" t="s">
        <v>23</v>
      </c>
      <c r="F14" s="2">
        <v>1.0020833333333334</v>
      </c>
      <c r="G14" t="s">
        <v>46</v>
      </c>
      <c r="H14" s="1"/>
      <c r="I14" s="1"/>
      <c r="J14" s="1">
        <v>4</v>
      </c>
      <c r="K14" s="1"/>
      <c r="L14" s="1"/>
      <c r="M14" s="1"/>
      <c r="N14" s="1">
        <v>1</v>
      </c>
      <c r="O14" s="1">
        <v>1</v>
      </c>
      <c r="P14" s="1">
        <v>3</v>
      </c>
      <c r="Q14" s="1"/>
      <c r="R14" s="1"/>
      <c r="S14">
        <f t="shared" si="1"/>
        <v>9</v>
      </c>
      <c r="T14">
        <v>4</v>
      </c>
      <c r="U14" s="1" t="s">
        <v>234</v>
      </c>
      <c r="W14" s="3" t="e">
        <f t="shared" si="2"/>
        <v>#N/A</v>
      </c>
      <c r="X14" s="3" t="e">
        <f t="shared" si="3"/>
        <v>#N/A</v>
      </c>
      <c r="Y14" s="3" t="e">
        <f t="shared" si="4"/>
        <v>#N/A</v>
      </c>
      <c r="Z14" s="3" t="e">
        <f t="shared" si="5"/>
        <v>#N/A</v>
      </c>
      <c r="AF14" t="s">
        <v>109</v>
      </c>
      <c r="AG14" s="3">
        <v>0.17499999999999999</v>
      </c>
      <c r="AH14" t="s">
        <v>109</v>
      </c>
      <c r="AI14" s="3">
        <v>0.17499999999999999</v>
      </c>
      <c r="AJ14" t="s">
        <v>109</v>
      </c>
      <c r="AK14" s="3">
        <v>0.17499999999999999</v>
      </c>
      <c r="AL14" t="s">
        <v>109</v>
      </c>
      <c r="AM14" s="3">
        <v>0.17499999999999999</v>
      </c>
      <c r="AO14" s="3"/>
      <c r="AQ14" s="3"/>
      <c r="AS14" s="3"/>
      <c r="AT14" t="s">
        <v>224</v>
      </c>
      <c r="AU14" s="3">
        <v>0.06</v>
      </c>
      <c r="BE14" s="7"/>
      <c r="BF14" t="s">
        <v>269</v>
      </c>
      <c r="BG14" s="7">
        <v>0.8</v>
      </c>
      <c r="BK14" s="74" t="s">
        <v>334</v>
      </c>
      <c r="BL14" s="74">
        <v>1.35</v>
      </c>
      <c r="BM14" s="75" t="s">
        <v>379</v>
      </c>
      <c r="BN14" s="75">
        <v>1.1499999999999999</v>
      </c>
      <c r="BO14" s="78" t="s">
        <v>346</v>
      </c>
      <c r="BP14" s="77">
        <v>1.75</v>
      </c>
      <c r="BQ14" s="79" t="s">
        <v>322</v>
      </c>
      <c r="BR14" s="79">
        <v>1.4</v>
      </c>
      <c r="CD14" t="s">
        <v>864</v>
      </c>
      <c r="CE14" t="s">
        <v>1282</v>
      </c>
      <c r="CF14" t="s">
        <v>1076</v>
      </c>
    </row>
    <row r="15" spans="1:84" x14ac:dyDescent="0.25">
      <c r="C15" t="s">
        <v>5</v>
      </c>
      <c r="F15" s="2">
        <v>1.0013888888888889</v>
      </c>
      <c r="G15" t="s">
        <v>47</v>
      </c>
      <c r="H15" s="1">
        <v>5</v>
      </c>
      <c r="I15" s="1">
        <v>2</v>
      </c>
      <c r="J15" s="1"/>
      <c r="K15" s="1"/>
      <c r="L15" s="1"/>
      <c r="M15" s="1"/>
      <c r="N15" s="1"/>
      <c r="O15" s="1"/>
      <c r="P15" s="1"/>
      <c r="Q15" s="1"/>
      <c r="R15" s="1"/>
      <c r="S15">
        <f t="shared" si="1"/>
        <v>7</v>
      </c>
      <c r="T15">
        <v>6</v>
      </c>
      <c r="U15" s="1" t="s">
        <v>231</v>
      </c>
      <c r="W15" s="3" t="e">
        <f t="shared" si="2"/>
        <v>#N/A</v>
      </c>
      <c r="X15" s="3" t="e">
        <f t="shared" si="3"/>
        <v>#N/A</v>
      </c>
      <c r="Y15" s="3" t="e">
        <f t="shared" si="4"/>
        <v>#N/A</v>
      </c>
      <c r="Z15" s="3" t="e">
        <f t="shared" si="5"/>
        <v>#N/A</v>
      </c>
      <c r="AF15" t="s">
        <v>110</v>
      </c>
      <c r="AG15" s="3">
        <v>0.2</v>
      </c>
      <c r="AH15" t="s">
        <v>110</v>
      </c>
      <c r="AI15" s="3">
        <v>0.2</v>
      </c>
      <c r="AJ15" t="s">
        <v>110</v>
      </c>
      <c r="AK15" s="3">
        <v>0.2</v>
      </c>
      <c r="AL15" t="s">
        <v>110</v>
      </c>
      <c r="AM15" s="3">
        <v>0.2</v>
      </c>
      <c r="AO15" s="3"/>
      <c r="AQ15" s="3"/>
      <c r="AS15" s="3"/>
      <c r="AT15" t="s">
        <v>225</v>
      </c>
      <c r="AU15" s="3">
        <v>0.5</v>
      </c>
      <c r="BE15" s="7"/>
      <c r="BF15" t="s">
        <v>266</v>
      </c>
      <c r="BG15" s="7">
        <v>0.8</v>
      </c>
      <c r="BK15" s="74" t="s">
        <v>584</v>
      </c>
      <c r="BL15" s="74">
        <v>1.35</v>
      </c>
      <c r="BM15" s="75" t="s">
        <v>380</v>
      </c>
      <c r="BN15" s="75">
        <v>0.95</v>
      </c>
      <c r="BO15" s="78" t="s">
        <v>347</v>
      </c>
      <c r="BP15" s="77">
        <v>1.55</v>
      </c>
      <c r="BQ15" s="79" t="s">
        <v>323</v>
      </c>
      <c r="BR15" s="79">
        <v>1.1499999999999999</v>
      </c>
      <c r="CD15" t="s">
        <v>865</v>
      </c>
      <c r="CE15" t="s">
        <v>1283</v>
      </c>
      <c r="CF15" t="s">
        <v>1077</v>
      </c>
    </row>
    <row r="16" spans="1:84" x14ac:dyDescent="0.25">
      <c r="C16" t="s">
        <v>24</v>
      </c>
      <c r="F16" s="2">
        <v>1.0015624999999999</v>
      </c>
      <c r="G16" t="s">
        <v>1541</v>
      </c>
      <c r="H16" s="1"/>
      <c r="I16" s="1">
        <v>7</v>
      </c>
      <c r="J16" s="1"/>
      <c r="K16" s="1"/>
      <c r="L16" s="1"/>
      <c r="M16" s="1"/>
      <c r="N16" s="1"/>
      <c r="O16" s="1"/>
      <c r="P16" s="1"/>
      <c r="Q16" s="1"/>
      <c r="R16" s="1"/>
      <c r="S16">
        <f t="shared" si="1"/>
        <v>7</v>
      </c>
      <c r="T16">
        <v>1</v>
      </c>
      <c r="U16" s="1" t="s">
        <v>231</v>
      </c>
      <c r="W16" s="3" t="e">
        <f t="shared" si="2"/>
        <v>#N/A</v>
      </c>
      <c r="X16" s="3" t="e">
        <f t="shared" si="3"/>
        <v>#N/A</v>
      </c>
      <c r="Y16" s="3" t="e">
        <f t="shared" si="4"/>
        <v>#N/A</v>
      </c>
      <c r="Z16" s="3" t="e">
        <f t="shared" si="5"/>
        <v>#N/A</v>
      </c>
      <c r="AF16" t="s">
        <v>111</v>
      </c>
      <c r="AG16" s="3">
        <v>0.22500000000000001</v>
      </c>
      <c r="AH16" t="s">
        <v>111</v>
      </c>
      <c r="AI16" s="3">
        <v>0.22500000000000001</v>
      </c>
      <c r="AJ16" t="s">
        <v>111</v>
      </c>
      <c r="AK16" s="3">
        <v>0.22500000000000001</v>
      </c>
      <c r="AL16" t="s">
        <v>111</v>
      </c>
      <c r="AM16" s="3">
        <v>0.22500000000000001</v>
      </c>
      <c r="AO16" s="3"/>
      <c r="AQ16" s="3"/>
      <c r="AS16" s="3"/>
      <c r="AT16" t="s">
        <v>226</v>
      </c>
      <c r="AU16" s="3">
        <v>0.25</v>
      </c>
      <c r="BE16" s="7"/>
      <c r="BF16" t="s">
        <v>270</v>
      </c>
      <c r="BG16" s="7">
        <v>0.8</v>
      </c>
      <c r="BK16" s="74" t="s">
        <v>585</v>
      </c>
      <c r="BL16" s="74">
        <v>1.35</v>
      </c>
      <c r="BM16" s="75" t="s">
        <v>381</v>
      </c>
      <c r="BN16" s="75">
        <v>1.1499999999999999</v>
      </c>
      <c r="BO16" s="78" t="s">
        <v>348</v>
      </c>
      <c r="BP16" s="77">
        <v>1.75</v>
      </c>
      <c r="BQ16" s="79" t="s">
        <v>324</v>
      </c>
      <c r="BR16" s="79">
        <v>1.1499999999999999</v>
      </c>
      <c r="CD16" t="s">
        <v>866</v>
      </c>
      <c r="CE16" t="s">
        <v>1284</v>
      </c>
      <c r="CF16" t="s">
        <v>1078</v>
      </c>
    </row>
    <row r="17" spans="1:84" x14ac:dyDescent="0.25">
      <c r="A17" t="s">
        <v>10</v>
      </c>
      <c r="F17" s="2">
        <v>1.0013888888888889</v>
      </c>
      <c r="G17" t="s">
        <v>48</v>
      </c>
      <c r="H17" s="1">
        <v>5</v>
      </c>
      <c r="I17" s="1">
        <v>2</v>
      </c>
      <c r="J17" s="1"/>
      <c r="K17" s="1"/>
      <c r="L17" s="1"/>
      <c r="M17" s="1"/>
      <c r="N17" s="1"/>
      <c r="O17" s="1"/>
      <c r="P17" s="1"/>
      <c r="Q17" s="1"/>
      <c r="R17" s="1"/>
      <c r="S17">
        <f t="shared" si="1"/>
        <v>7</v>
      </c>
      <c r="T17">
        <v>6</v>
      </c>
      <c r="U17" s="1" t="s">
        <v>231</v>
      </c>
      <c r="W17" s="3" t="e">
        <f t="shared" si="2"/>
        <v>#N/A</v>
      </c>
      <c r="X17" s="3" t="e">
        <f t="shared" si="3"/>
        <v>#N/A</v>
      </c>
      <c r="Y17" s="3" t="e">
        <f t="shared" si="4"/>
        <v>#N/A</v>
      </c>
      <c r="Z17" s="3" t="e">
        <f t="shared" si="5"/>
        <v>#N/A</v>
      </c>
      <c r="AF17" t="s">
        <v>112</v>
      </c>
      <c r="AG17" s="3">
        <v>0.25</v>
      </c>
      <c r="AH17" t="s">
        <v>112</v>
      </c>
      <c r="AI17" s="3">
        <v>0.25</v>
      </c>
      <c r="AJ17" t="s">
        <v>112</v>
      </c>
      <c r="AK17" s="3">
        <v>0.25</v>
      </c>
      <c r="AL17" t="s">
        <v>112</v>
      </c>
      <c r="AM17" s="3">
        <v>0.25</v>
      </c>
      <c r="AO17" s="3"/>
      <c r="AQ17" s="3"/>
      <c r="AS17" s="3"/>
      <c r="AT17" t="s">
        <v>227</v>
      </c>
      <c r="AU17" s="3">
        <v>0.15</v>
      </c>
      <c r="BE17" s="7"/>
      <c r="BF17" t="s">
        <v>271</v>
      </c>
      <c r="BG17" s="7">
        <v>0.8</v>
      </c>
      <c r="BK17" s="74" t="s">
        <v>586</v>
      </c>
      <c r="BL17" s="74">
        <v>1.3</v>
      </c>
      <c r="BM17" s="75" t="s">
        <v>382</v>
      </c>
      <c r="BN17" s="75">
        <v>0.95</v>
      </c>
      <c r="BO17" s="77" t="s">
        <v>343</v>
      </c>
      <c r="BP17" s="77">
        <v>1.4</v>
      </c>
      <c r="BQ17" s="79" t="s">
        <v>325</v>
      </c>
      <c r="BR17" s="79">
        <v>1.2</v>
      </c>
      <c r="CD17" t="s">
        <v>867</v>
      </c>
      <c r="CE17" t="s">
        <v>1285</v>
      </c>
      <c r="CF17" t="s">
        <v>1079</v>
      </c>
    </row>
    <row r="18" spans="1:84" x14ac:dyDescent="0.25">
      <c r="A18" t="s">
        <v>11</v>
      </c>
      <c r="F18" s="2">
        <v>1.0015624999999999</v>
      </c>
      <c r="G18" t="s">
        <v>49</v>
      </c>
      <c r="H18" s="1"/>
      <c r="I18" s="1">
        <v>7</v>
      </c>
      <c r="J18" s="1"/>
      <c r="K18" s="1"/>
      <c r="L18" s="1"/>
      <c r="M18" s="1"/>
      <c r="N18" s="1"/>
      <c r="O18" s="1"/>
      <c r="P18" s="1"/>
      <c r="Q18" s="1"/>
      <c r="R18" s="1"/>
      <c r="S18">
        <f t="shared" si="1"/>
        <v>7</v>
      </c>
      <c r="T18">
        <v>1</v>
      </c>
      <c r="U18" s="1" t="s">
        <v>231</v>
      </c>
      <c r="W18" s="3" t="e">
        <f t="shared" si="2"/>
        <v>#N/A</v>
      </c>
      <c r="X18" s="3" t="e">
        <f t="shared" si="3"/>
        <v>#N/A</v>
      </c>
      <c r="Y18" s="3" t="e">
        <f t="shared" si="4"/>
        <v>#N/A</v>
      </c>
      <c r="Z18" s="3" t="e">
        <f t="shared" si="5"/>
        <v>#N/A</v>
      </c>
      <c r="AF18" t="s">
        <v>113</v>
      </c>
      <c r="AG18" s="3">
        <v>0.27500000000000002</v>
      </c>
      <c r="AH18" t="s">
        <v>113</v>
      </c>
      <c r="AI18" s="3">
        <v>0.27500000000000002</v>
      </c>
      <c r="AJ18" t="s">
        <v>113</v>
      </c>
      <c r="AK18" s="3">
        <v>0.27500000000000002</v>
      </c>
      <c r="AL18" t="s">
        <v>113</v>
      </c>
      <c r="AM18" s="3">
        <v>0.27500000000000002</v>
      </c>
      <c r="AO18" s="3"/>
      <c r="AQ18" s="3"/>
      <c r="AS18" s="3"/>
      <c r="AT18" t="s">
        <v>244</v>
      </c>
      <c r="AU18" s="3">
        <v>0.3</v>
      </c>
      <c r="BE18" s="7"/>
      <c r="BF18" t="s">
        <v>272</v>
      </c>
      <c r="BG18" s="7">
        <v>0.8</v>
      </c>
      <c r="BK18" s="74" t="s">
        <v>587</v>
      </c>
      <c r="BL18" s="74">
        <v>1.3</v>
      </c>
      <c r="BM18" s="75" t="s">
        <v>383</v>
      </c>
      <c r="BN18" s="75">
        <v>1.2</v>
      </c>
      <c r="BO18" s="77" t="s">
        <v>349</v>
      </c>
      <c r="BP18" s="77">
        <v>1.1000000000000001</v>
      </c>
      <c r="BQ18" s="79" t="s">
        <v>326</v>
      </c>
      <c r="BR18" s="79">
        <v>1.45</v>
      </c>
      <c r="CD18" t="s">
        <v>868</v>
      </c>
      <c r="CE18" t="s">
        <v>1286</v>
      </c>
      <c r="CF18" t="s">
        <v>1080</v>
      </c>
    </row>
    <row r="19" spans="1:84" x14ac:dyDescent="0.25">
      <c r="A19" t="s">
        <v>13</v>
      </c>
      <c r="F19" s="2">
        <v>1.0016203703703703</v>
      </c>
      <c r="G19" t="s">
        <v>50</v>
      </c>
      <c r="H19" s="1">
        <v>5</v>
      </c>
      <c r="I19" s="1">
        <v>2</v>
      </c>
      <c r="J19" s="1">
        <v>1</v>
      </c>
      <c r="K19" s="1"/>
      <c r="L19" s="1"/>
      <c r="M19" s="1"/>
      <c r="N19" s="1"/>
      <c r="O19" s="1"/>
      <c r="P19" s="1"/>
      <c r="Q19" s="1"/>
      <c r="R19" s="1"/>
      <c r="S19">
        <f t="shared" si="1"/>
        <v>8</v>
      </c>
      <c r="T19">
        <v>7</v>
      </c>
      <c r="U19" s="1" t="s">
        <v>232</v>
      </c>
      <c r="W19" s="3" t="e">
        <f t="shared" si="2"/>
        <v>#N/A</v>
      </c>
      <c r="X19" s="3" t="e">
        <f t="shared" si="3"/>
        <v>#N/A</v>
      </c>
      <c r="Y19" s="3" t="e">
        <f t="shared" si="4"/>
        <v>#N/A</v>
      </c>
      <c r="Z19" s="3" t="e">
        <f t="shared" si="5"/>
        <v>#N/A</v>
      </c>
      <c r="AF19" t="s">
        <v>114</v>
      </c>
      <c r="AG19" s="3">
        <v>0.3</v>
      </c>
      <c r="AH19" t="s">
        <v>114</v>
      </c>
      <c r="AI19" s="3">
        <v>0.3</v>
      </c>
      <c r="AJ19" t="s">
        <v>114</v>
      </c>
      <c r="AK19" s="3">
        <v>0.3</v>
      </c>
      <c r="AL19" t="s">
        <v>114</v>
      </c>
      <c r="AM19" s="3">
        <v>0.3</v>
      </c>
      <c r="AO19" s="3"/>
      <c r="AQ19" s="3"/>
      <c r="AS19" s="3"/>
      <c r="AT19" t="s">
        <v>245</v>
      </c>
      <c r="AU19" s="3">
        <v>0.6</v>
      </c>
      <c r="BE19" s="7"/>
      <c r="BF19" t="s">
        <v>273</v>
      </c>
      <c r="BG19" s="7">
        <v>0.8</v>
      </c>
      <c r="BK19" s="74" t="s">
        <v>588</v>
      </c>
      <c r="BL19" s="74">
        <v>1.35</v>
      </c>
      <c r="BM19" s="75" t="s">
        <v>384</v>
      </c>
      <c r="BN19" s="75">
        <v>1.2</v>
      </c>
      <c r="BO19" s="77" t="s">
        <v>350</v>
      </c>
      <c r="BP19" s="77">
        <v>1.35</v>
      </c>
      <c r="BQ19" s="79" t="s">
        <v>327</v>
      </c>
      <c r="BR19" s="79">
        <v>1.7</v>
      </c>
      <c r="CD19" t="s">
        <v>869</v>
      </c>
      <c r="CE19" t="s">
        <v>1287</v>
      </c>
      <c r="CF19" t="s">
        <v>1081</v>
      </c>
    </row>
    <row r="20" spans="1:84" x14ac:dyDescent="0.25">
      <c r="A20" t="s">
        <v>15</v>
      </c>
      <c r="F20" s="2">
        <v>1.0019097222222222</v>
      </c>
      <c r="G20" t="s">
        <v>51</v>
      </c>
      <c r="H20" s="1"/>
      <c r="I20" s="1">
        <v>7</v>
      </c>
      <c r="J20" s="1">
        <v>2</v>
      </c>
      <c r="K20" s="1"/>
      <c r="L20" s="1"/>
      <c r="M20" s="1"/>
      <c r="N20" s="1"/>
      <c r="O20" s="1"/>
      <c r="P20" s="1"/>
      <c r="Q20" s="1"/>
      <c r="R20" s="1"/>
      <c r="S20">
        <f t="shared" si="1"/>
        <v>9</v>
      </c>
      <c r="T20">
        <v>2</v>
      </c>
      <c r="U20" s="1" t="s">
        <v>232</v>
      </c>
      <c r="W20" s="3" t="e">
        <f t="shared" si="2"/>
        <v>#N/A</v>
      </c>
      <c r="X20" s="3" t="e">
        <f t="shared" si="3"/>
        <v>#N/A</v>
      </c>
      <c r="Y20" s="3" t="e">
        <f t="shared" si="4"/>
        <v>#N/A</v>
      </c>
      <c r="Z20" s="3" t="e">
        <f t="shared" si="5"/>
        <v>#N/A</v>
      </c>
      <c r="AF20" t="s">
        <v>115</v>
      </c>
      <c r="AG20" s="3">
        <v>0.32500000000000001</v>
      </c>
      <c r="AH20" t="s">
        <v>115</v>
      </c>
      <c r="AI20" s="3">
        <v>0.32500000000000001</v>
      </c>
      <c r="AJ20" t="s">
        <v>115</v>
      </c>
      <c r="AK20" s="3">
        <v>0.32500000000000001</v>
      </c>
      <c r="AL20" t="s">
        <v>115</v>
      </c>
      <c r="AM20" s="3">
        <v>0.32500000000000001</v>
      </c>
      <c r="AO20" s="3"/>
      <c r="AQ20" s="3"/>
      <c r="AS20" s="3"/>
      <c r="AT20" t="s">
        <v>246</v>
      </c>
      <c r="AU20" s="3">
        <v>0.9</v>
      </c>
      <c r="BE20" s="7"/>
      <c r="BF20" t="s">
        <v>274</v>
      </c>
      <c r="BG20" s="7">
        <v>0.8</v>
      </c>
      <c r="BK20" s="74" t="s">
        <v>589</v>
      </c>
      <c r="BL20" s="74">
        <v>1</v>
      </c>
      <c r="BM20" s="75" t="s">
        <v>365</v>
      </c>
      <c r="BN20" s="75">
        <v>0.85</v>
      </c>
      <c r="BO20" s="77" t="s">
        <v>351</v>
      </c>
      <c r="BP20" s="77">
        <v>1.25</v>
      </c>
      <c r="BQ20" s="79" t="s">
        <v>328</v>
      </c>
      <c r="BR20" s="79">
        <v>1</v>
      </c>
      <c r="CD20" t="s">
        <v>870</v>
      </c>
      <c r="CE20" t="s">
        <v>1288</v>
      </c>
      <c r="CF20" t="s">
        <v>1082</v>
      </c>
    </row>
    <row r="21" spans="1:84" x14ac:dyDescent="0.25">
      <c r="A21" t="s">
        <v>17</v>
      </c>
      <c r="D21">
        <v>2</v>
      </c>
      <c r="E21" t="s">
        <v>28</v>
      </c>
      <c r="F21" s="2">
        <v>1.0016203703703703</v>
      </c>
      <c r="G21" t="s">
        <v>52</v>
      </c>
      <c r="H21" s="1">
        <v>5</v>
      </c>
      <c r="I21" s="1">
        <v>1</v>
      </c>
      <c r="J21" s="1">
        <v>1</v>
      </c>
      <c r="K21" s="1">
        <v>1</v>
      </c>
      <c r="L21" s="1"/>
      <c r="M21" s="1"/>
      <c r="N21" s="1"/>
      <c r="O21" s="1"/>
      <c r="P21" s="1"/>
      <c r="Q21" s="1"/>
      <c r="R21" s="1"/>
      <c r="S21">
        <f t="shared" si="1"/>
        <v>8</v>
      </c>
      <c r="T21">
        <v>8</v>
      </c>
      <c r="U21" s="1" t="s">
        <v>233</v>
      </c>
      <c r="W21" s="3" t="e">
        <f t="shared" si="2"/>
        <v>#N/A</v>
      </c>
      <c r="X21" s="3" t="e">
        <f t="shared" si="3"/>
        <v>#N/A</v>
      </c>
      <c r="Y21" s="3" t="e">
        <f t="shared" si="4"/>
        <v>#N/A</v>
      </c>
      <c r="Z21" s="3" t="e">
        <f t="shared" si="5"/>
        <v>#N/A</v>
      </c>
      <c r="AF21" t="s">
        <v>116</v>
      </c>
      <c r="AG21" s="3">
        <v>4.4999999999999998E-2</v>
      </c>
      <c r="AH21" t="s">
        <v>116</v>
      </c>
      <c r="AI21" s="3">
        <v>4.4999999999999998E-2</v>
      </c>
      <c r="AJ21" t="s">
        <v>116</v>
      </c>
      <c r="AK21" s="3">
        <v>4.4999999999999998E-2</v>
      </c>
      <c r="AL21" t="s">
        <v>116</v>
      </c>
      <c r="AM21" s="3">
        <v>4.4999999999999998E-2</v>
      </c>
      <c r="AO21" s="3"/>
      <c r="AQ21" s="3"/>
      <c r="AS21" s="3"/>
      <c r="AT21" t="s">
        <v>247</v>
      </c>
      <c r="AU21" s="3">
        <v>1.2</v>
      </c>
      <c r="BE21" s="7"/>
      <c r="BF21" t="s">
        <v>1538</v>
      </c>
      <c r="BG21" s="7">
        <v>0.8</v>
      </c>
      <c r="BK21" s="74" t="s">
        <v>382</v>
      </c>
      <c r="BL21" s="74">
        <v>1.3</v>
      </c>
      <c r="BM21" s="75" t="s">
        <v>328</v>
      </c>
      <c r="BN21" s="75">
        <v>1.2</v>
      </c>
      <c r="BO21" s="77" t="s">
        <v>352</v>
      </c>
      <c r="BP21" s="77">
        <v>1.6</v>
      </c>
      <c r="BQ21" s="79" t="s">
        <v>329</v>
      </c>
      <c r="BR21" s="79">
        <v>1.1000000000000001</v>
      </c>
      <c r="CD21" t="s">
        <v>871</v>
      </c>
      <c r="CE21" t="s">
        <v>1289</v>
      </c>
      <c r="CF21" t="s">
        <v>1083</v>
      </c>
    </row>
    <row r="22" spans="1:84" x14ac:dyDescent="0.2">
      <c r="A22" t="s">
        <v>18</v>
      </c>
      <c r="D22">
        <v>2</v>
      </c>
      <c r="E22" t="s">
        <v>26</v>
      </c>
      <c r="F22" s="2">
        <v>1.0019097222222222</v>
      </c>
      <c r="G22" t="s">
        <v>53</v>
      </c>
      <c r="H22" s="1"/>
      <c r="I22" s="1">
        <v>6</v>
      </c>
      <c r="J22" s="1">
        <v>2</v>
      </c>
      <c r="K22" s="1">
        <v>1</v>
      </c>
      <c r="L22" s="1"/>
      <c r="M22" s="1"/>
      <c r="N22" s="1"/>
      <c r="O22" s="1"/>
      <c r="P22" s="1"/>
      <c r="Q22" s="1">
        <v>2</v>
      </c>
      <c r="R22" s="1"/>
      <c r="S22">
        <f t="shared" si="1"/>
        <v>11</v>
      </c>
      <c r="T22">
        <v>3</v>
      </c>
      <c r="U22" s="1" t="s">
        <v>233</v>
      </c>
      <c r="W22" s="3" t="e">
        <f t="shared" si="2"/>
        <v>#N/A</v>
      </c>
      <c r="X22" s="3" t="e">
        <f t="shared" si="3"/>
        <v>#N/A</v>
      </c>
      <c r="Y22" s="3" t="e">
        <f t="shared" si="4"/>
        <v>#N/A</v>
      </c>
      <c r="Z22" s="3" t="e">
        <f t="shared" si="5"/>
        <v>#N/A</v>
      </c>
      <c r="AF22" t="s">
        <v>117</v>
      </c>
      <c r="AG22" s="3">
        <v>0.09</v>
      </c>
      <c r="AH22" t="s">
        <v>117</v>
      </c>
      <c r="AI22" s="3">
        <v>0.09</v>
      </c>
      <c r="AJ22" t="s">
        <v>117</v>
      </c>
      <c r="AK22" s="3">
        <v>0.09</v>
      </c>
      <c r="AL22" t="s">
        <v>117</v>
      </c>
      <c r="AM22" s="3">
        <v>0.09</v>
      </c>
      <c r="AO22" s="3"/>
      <c r="AQ22" s="3"/>
      <c r="AS22" s="3"/>
      <c r="AT22" t="s">
        <v>248</v>
      </c>
      <c r="AU22" s="3">
        <v>1.5</v>
      </c>
      <c r="BE22" s="7"/>
      <c r="BF22" t="s">
        <v>275</v>
      </c>
      <c r="BG22" s="7">
        <v>1</v>
      </c>
      <c r="BK22" s="74" t="s">
        <v>590</v>
      </c>
      <c r="BL22" s="74">
        <v>0.5</v>
      </c>
      <c r="BM22" s="75" t="s">
        <v>385</v>
      </c>
      <c r="BN22" s="75">
        <v>1.6</v>
      </c>
      <c r="BO22" s="77" t="s">
        <v>353</v>
      </c>
      <c r="BP22" s="77">
        <v>0.7</v>
      </c>
      <c r="BQ22" s="79" t="s">
        <v>330</v>
      </c>
      <c r="BR22" s="79">
        <v>0.9</v>
      </c>
      <c r="CD22" t="s">
        <v>872</v>
      </c>
      <c r="CE22" t="s">
        <v>1290</v>
      </c>
      <c r="CF22" t="s">
        <v>1084</v>
      </c>
    </row>
    <row r="23" spans="1:84" x14ac:dyDescent="0.2">
      <c r="D23">
        <v>2</v>
      </c>
      <c r="E23" t="s">
        <v>19</v>
      </c>
      <c r="F23" s="2">
        <v>1.0019675925925926</v>
      </c>
      <c r="G23" t="s">
        <v>54</v>
      </c>
      <c r="H23" s="1">
        <v>5</v>
      </c>
      <c r="I23" s="1">
        <v>2</v>
      </c>
      <c r="J23" s="1">
        <v>1</v>
      </c>
      <c r="K23" s="1"/>
      <c r="L23" s="1"/>
      <c r="M23" s="1"/>
      <c r="N23" s="1"/>
      <c r="O23" s="1"/>
      <c r="P23" s="1"/>
      <c r="Q23" s="1"/>
      <c r="R23" s="1">
        <v>1</v>
      </c>
      <c r="S23">
        <f t="shared" si="1"/>
        <v>9</v>
      </c>
      <c r="T23">
        <v>9</v>
      </c>
      <c r="U23" s="1" t="s">
        <v>234</v>
      </c>
      <c r="W23" s="3" t="e">
        <f t="shared" si="2"/>
        <v>#N/A</v>
      </c>
      <c r="X23" s="3" t="e">
        <f t="shared" si="3"/>
        <v>#N/A</v>
      </c>
      <c r="Y23" s="3" t="e">
        <f t="shared" si="4"/>
        <v>#N/A</v>
      </c>
      <c r="Z23" s="3" t="e">
        <f t="shared" si="5"/>
        <v>#N/A</v>
      </c>
      <c r="AF23" t="s">
        <v>118</v>
      </c>
      <c r="AG23" s="3">
        <v>0.105</v>
      </c>
      <c r="AH23" t="s">
        <v>118</v>
      </c>
      <c r="AI23" s="3">
        <v>0.105</v>
      </c>
      <c r="AJ23" t="s">
        <v>118</v>
      </c>
      <c r="AK23" s="3">
        <v>0.105</v>
      </c>
      <c r="AL23" t="s">
        <v>118</v>
      </c>
      <c r="AM23" s="3">
        <v>0.105</v>
      </c>
      <c r="AO23" s="3"/>
      <c r="AQ23" s="3"/>
      <c r="AS23" s="3"/>
      <c r="AT23" t="s">
        <v>249</v>
      </c>
      <c r="AU23" s="3">
        <v>1.8</v>
      </c>
      <c r="BE23" s="7"/>
      <c r="BF23" t="s">
        <v>276</v>
      </c>
      <c r="BG23" s="7">
        <v>1</v>
      </c>
      <c r="BK23" s="74" t="s">
        <v>591</v>
      </c>
      <c r="BL23" s="74">
        <v>1.1000000000000001</v>
      </c>
      <c r="BM23" s="75" t="s">
        <v>386</v>
      </c>
      <c r="BN23" s="75">
        <v>1.4</v>
      </c>
      <c r="BO23" s="77" t="s">
        <v>354</v>
      </c>
      <c r="BP23" s="77">
        <v>1.85</v>
      </c>
      <c r="BQ23" s="79" t="s">
        <v>331</v>
      </c>
      <c r="BR23" s="79">
        <v>0.9</v>
      </c>
      <c r="CD23" t="s">
        <v>873</v>
      </c>
      <c r="CE23" t="s">
        <v>1291</v>
      </c>
      <c r="CF23" t="s">
        <v>1085</v>
      </c>
    </row>
    <row r="24" spans="1:84" x14ac:dyDescent="0.25">
      <c r="F24" s="2">
        <v>1.0024305555555555</v>
      </c>
      <c r="G24" t="s">
        <v>55</v>
      </c>
      <c r="H24" s="1"/>
      <c r="I24" s="1">
        <v>7</v>
      </c>
      <c r="J24" s="1">
        <v>4</v>
      </c>
      <c r="K24" s="1"/>
      <c r="L24" s="1"/>
      <c r="M24" s="1"/>
      <c r="N24" s="1"/>
      <c r="O24" s="1"/>
      <c r="P24" s="1"/>
      <c r="Q24" s="1"/>
      <c r="R24" s="1"/>
      <c r="S24">
        <f t="shared" si="1"/>
        <v>11</v>
      </c>
      <c r="T24">
        <v>12</v>
      </c>
      <c r="U24" s="1" t="s">
        <v>234</v>
      </c>
      <c r="W24" s="3" t="e">
        <f t="shared" si="2"/>
        <v>#N/A</v>
      </c>
      <c r="X24" s="3" t="e">
        <f t="shared" si="3"/>
        <v>#N/A</v>
      </c>
      <c r="Y24" s="3" t="e">
        <f t="shared" si="4"/>
        <v>#N/A</v>
      </c>
      <c r="Z24" s="3" t="e">
        <f t="shared" si="5"/>
        <v>#N/A</v>
      </c>
      <c r="AF24" t="s">
        <v>119</v>
      </c>
      <c r="AG24" s="3">
        <v>0.12</v>
      </c>
      <c r="AH24" t="s">
        <v>119</v>
      </c>
      <c r="AI24" s="3">
        <v>0.12</v>
      </c>
      <c r="AJ24" t="s">
        <v>119</v>
      </c>
      <c r="AK24" s="3">
        <v>0.12</v>
      </c>
      <c r="AL24" t="s">
        <v>119</v>
      </c>
      <c r="AM24" s="3">
        <v>0.12</v>
      </c>
      <c r="AO24" s="3"/>
      <c r="AQ24" s="3"/>
      <c r="AS24" s="3"/>
      <c r="AT24" t="s">
        <v>250</v>
      </c>
      <c r="AU24" s="3">
        <v>0.15</v>
      </c>
      <c r="BE24" s="7"/>
      <c r="BF24" t="s">
        <v>277</v>
      </c>
      <c r="BG24" s="7">
        <v>1</v>
      </c>
      <c r="BK24" s="74"/>
      <c r="BL24" s="74"/>
      <c r="BM24" s="75" t="s">
        <v>1527</v>
      </c>
      <c r="BN24" s="75">
        <v>1.7</v>
      </c>
      <c r="BO24" s="77" t="s">
        <v>1494</v>
      </c>
      <c r="BP24" s="77">
        <v>1.65</v>
      </c>
      <c r="BQ24" s="79" t="s">
        <v>332</v>
      </c>
      <c r="BR24" s="79">
        <v>1</v>
      </c>
      <c r="CD24" t="s">
        <v>874</v>
      </c>
      <c r="CE24" t="s">
        <v>1292</v>
      </c>
      <c r="CF24" t="s">
        <v>1086</v>
      </c>
    </row>
    <row r="25" spans="1:84" x14ac:dyDescent="0.2">
      <c r="F25" s="2">
        <v>1.0020833333333334</v>
      </c>
      <c r="G25" t="s">
        <v>56</v>
      </c>
      <c r="H25" s="1"/>
      <c r="I25" s="1"/>
      <c r="J25" s="1">
        <v>7</v>
      </c>
      <c r="K25" s="1"/>
      <c r="L25" s="1"/>
      <c r="M25" s="1"/>
      <c r="N25" s="1"/>
      <c r="O25" s="1"/>
      <c r="P25" s="1"/>
      <c r="Q25" s="1"/>
      <c r="R25" s="1"/>
      <c r="S25">
        <f t="shared" si="1"/>
        <v>7</v>
      </c>
      <c r="T25">
        <v>10</v>
      </c>
      <c r="U25" s="1" t="s">
        <v>234</v>
      </c>
      <c r="W25" s="3" t="e">
        <f t="shared" si="2"/>
        <v>#N/A</v>
      </c>
      <c r="X25" s="3" t="e">
        <f t="shared" si="3"/>
        <v>#N/A</v>
      </c>
      <c r="Y25" s="3" t="e">
        <f t="shared" si="4"/>
        <v>#N/A</v>
      </c>
      <c r="Z25" s="3" t="e">
        <f t="shared" si="5"/>
        <v>#N/A</v>
      </c>
      <c r="AF25" t="s">
        <v>120</v>
      </c>
      <c r="AG25" s="3">
        <v>0.13500000000000001</v>
      </c>
      <c r="AH25" t="s">
        <v>120</v>
      </c>
      <c r="AI25" s="3">
        <v>0.13500000000000001</v>
      </c>
      <c r="AJ25" t="s">
        <v>120</v>
      </c>
      <c r="AK25" s="3">
        <v>0.13500000000000001</v>
      </c>
      <c r="AL25" t="s">
        <v>120</v>
      </c>
      <c r="AM25" s="3">
        <v>0.13500000000000001</v>
      </c>
      <c r="AO25" s="3"/>
      <c r="AQ25" s="3"/>
      <c r="AS25" s="3"/>
      <c r="AT25" t="s">
        <v>251</v>
      </c>
      <c r="AU25" s="3">
        <v>0.3</v>
      </c>
      <c r="BE25" s="7"/>
      <c r="BF25" t="s">
        <v>278</v>
      </c>
      <c r="BG25" s="7">
        <v>1</v>
      </c>
      <c r="BK25" s="74"/>
      <c r="BL25" s="74"/>
      <c r="BM25" s="75" t="s">
        <v>265</v>
      </c>
      <c r="BN25" s="75">
        <v>0.7</v>
      </c>
      <c r="BO25" s="77" t="s">
        <v>355</v>
      </c>
      <c r="BP25" s="77">
        <v>2</v>
      </c>
      <c r="BQ25" s="79" t="s">
        <v>333</v>
      </c>
      <c r="BR25" s="79">
        <v>1.1000000000000001</v>
      </c>
      <c r="CD25" t="s">
        <v>875</v>
      </c>
      <c r="CE25" t="s">
        <v>1293</v>
      </c>
      <c r="CF25" t="s">
        <v>1087</v>
      </c>
    </row>
    <row r="26" spans="1:84" x14ac:dyDescent="0.25">
      <c r="A26" t="s">
        <v>1540</v>
      </c>
      <c r="F26" s="2">
        <v>1.0013888888888889</v>
      </c>
      <c r="G26" t="s">
        <v>57</v>
      </c>
      <c r="H26" s="1">
        <v>5</v>
      </c>
      <c r="I26" s="1">
        <v>2</v>
      </c>
      <c r="J26" s="1"/>
      <c r="K26" s="1"/>
      <c r="L26" s="1"/>
      <c r="M26" s="1"/>
      <c r="N26" s="1"/>
      <c r="O26" s="1"/>
      <c r="P26" s="1"/>
      <c r="Q26" s="1"/>
      <c r="R26" s="1"/>
      <c r="S26">
        <f t="shared" si="1"/>
        <v>7</v>
      </c>
      <c r="T26">
        <v>6</v>
      </c>
      <c r="U26" s="1" t="s">
        <v>231</v>
      </c>
      <c r="W26" s="3" t="e">
        <f t="shared" si="2"/>
        <v>#N/A</v>
      </c>
      <c r="X26" s="3" t="e">
        <f t="shared" si="3"/>
        <v>#N/A</v>
      </c>
      <c r="Y26" s="3" t="e">
        <f t="shared" si="4"/>
        <v>#N/A</v>
      </c>
      <c r="Z26" s="3" t="e">
        <f t="shared" si="5"/>
        <v>#N/A</v>
      </c>
      <c r="AF26" t="s">
        <v>121</v>
      </c>
      <c r="AG26" s="3">
        <v>0.15</v>
      </c>
      <c r="AH26" t="s">
        <v>121</v>
      </c>
      <c r="AI26" s="3">
        <v>0.15</v>
      </c>
      <c r="AJ26" t="s">
        <v>121</v>
      </c>
      <c r="AK26" s="3">
        <v>0.15</v>
      </c>
      <c r="AL26" t="s">
        <v>121</v>
      </c>
      <c r="AM26" s="3">
        <v>0.15</v>
      </c>
      <c r="AO26" s="3"/>
      <c r="AQ26" s="3"/>
      <c r="AS26" s="3"/>
      <c r="AT26" t="s">
        <v>252</v>
      </c>
      <c r="AU26" s="3">
        <v>0.45</v>
      </c>
      <c r="BE26" s="7"/>
      <c r="BF26" t="s">
        <v>279</v>
      </c>
      <c r="BG26" s="7">
        <v>1</v>
      </c>
      <c r="BK26" s="74"/>
      <c r="BL26" s="74"/>
      <c r="BM26" s="75" t="s">
        <v>387</v>
      </c>
      <c r="BN26" s="75">
        <v>0.6</v>
      </c>
      <c r="BO26" s="77" t="s">
        <v>356</v>
      </c>
      <c r="BP26" s="77">
        <v>1.45</v>
      </c>
      <c r="BQ26" s="79" t="s">
        <v>334</v>
      </c>
      <c r="BR26" s="79">
        <v>0.6</v>
      </c>
      <c r="CD26" t="s">
        <v>876</v>
      </c>
      <c r="CE26" t="s">
        <v>1431</v>
      </c>
      <c r="CF26" t="s">
        <v>1088</v>
      </c>
    </row>
    <row r="27" spans="1:84" x14ac:dyDescent="0.25">
      <c r="A27" t="s">
        <v>11</v>
      </c>
      <c r="F27" s="2">
        <v>1.0015624999999999</v>
      </c>
      <c r="G27" t="s">
        <v>58</v>
      </c>
      <c r="H27" s="1"/>
      <c r="I27" s="1">
        <v>7</v>
      </c>
      <c r="J27" s="1"/>
      <c r="K27" s="1"/>
      <c r="L27" s="1"/>
      <c r="M27" s="1"/>
      <c r="N27" s="1"/>
      <c r="O27" s="1"/>
      <c r="P27" s="1"/>
      <c r="Q27" s="1"/>
      <c r="R27" s="1"/>
      <c r="S27">
        <f t="shared" si="1"/>
        <v>7</v>
      </c>
      <c r="T27">
        <v>1</v>
      </c>
      <c r="U27" s="1" t="s">
        <v>231</v>
      </c>
      <c r="W27" s="3" t="e">
        <f t="shared" si="2"/>
        <v>#N/A</v>
      </c>
      <c r="X27" s="3" t="e">
        <f t="shared" si="3"/>
        <v>#N/A</v>
      </c>
      <c r="Y27" s="3" t="e">
        <f t="shared" si="4"/>
        <v>#N/A</v>
      </c>
      <c r="Z27" s="3" t="e">
        <f t="shared" si="5"/>
        <v>#N/A</v>
      </c>
      <c r="AF27" t="s">
        <v>122</v>
      </c>
      <c r="AG27" s="3">
        <v>0.16500000000000001</v>
      </c>
      <c r="AH27" t="s">
        <v>122</v>
      </c>
      <c r="AI27" s="3">
        <v>0.16500000000000001</v>
      </c>
      <c r="AJ27" t="s">
        <v>122</v>
      </c>
      <c r="AK27" s="3">
        <v>0.16500000000000001</v>
      </c>
      <c r="AL27" t="s">
        <v>122</v>
      </c>
      <c r="AM27" s="3">
        <v>0.16500000000000001</v>
      </c>
      <c r="AO27" s="3"/>
      <c r="AQ27" s="3"/>
      <c r="AS27" s="3"/>
      <c r="AT27" t="s">
        <v>253</v>
      </c>
      <c r="AU27" s="3">
        <v>0.6</v>
      </c>
      <c r="BE27" s="7"/>
      <c r="BF27" t="s">
        <v>774</v>
      </c>
      <c r="BG27" s="7">
        <v>1</v>
      </c>
      <c r="BK27" s="74"/>
      <c r="BL27" s="74"/>
      <c r="BM27" s="75" t="s">
        <v>388</v>
      </c>
      <c r="BN27" s="75">
        <v>1.05</v>
      </c>
      <c r="BO27" s="77" t="s">
        <v>799</v>
      </c>
      <c r="BP27" s="77">
        <v>1.3</v>
      </c>
      <c r="BQ27" s="80" t="s">
        <v>335</v>
      </c>
      <c r="BR27" s="79">
        <v>1.2</v>
      </c>
      <c r="CD27" t="s">
        <v>877</v>
      </c>
      <c r="CE27" t="s">
        <v>1294</v>
      </c>
      <c r="CF27" t="s">
        <v>1089</v>
      </c>
    </row>
    <row r="28" spans="1:84" x14ac:dyDescent="0.25">
      <c r="A28" t="s">
        <v>13</v>
      </c>
      <c r="F28" s="2">
        <v>1.0013888888888889</v>
      </c>
      <c r="G28" t="s">
        <v>59</v>
      </c>
      <c r="H28" s="1">
        <v>5</v>
      </c>
      <c r="I28" s="1">
        <v>2</v>
      </c>
      <c r="J28" s="1"/>
      <c r="K28" s="1"/>
      <c r="L28" s="1"/>
      <c r="M28" s="1"/>
      <c r="N28" s="1"/>
      <c r="O28" s="1"/>
      <c r="P28" s="1"/>
      <c r="Q28" s="1"/>
      <c r="R28" s="1"/>
      <c r="S28">
        <f t="shared" si="1"/>
        <v>7</v>
      </c>
      <c r="T28">
        <v>6</v>
      </c>
      <c r="U28" s="1" t="s">
        <v>231</v>
      </c>
      <c r="W28" s="3" t="e">
        <f t="shared" si="2"/>
        <v>#N/A</v>
      </c>
      <c r="X28" s="3" t="e">
        <f t="shared" si="3"/>
        <v>#N/A</v>
      </c>
      <c r="Y28" s="3" t="e">
        <f t="shared" si="4"/>
        <v>#N/A</v>
      </c>
      <c r="Z28" s="3" t="e">
        <f t="shared" si="5"/>
        <v>#N/A</v>
      </c>
      <c r="AF28" t="s">
        <v>123</v>
      </c>
      <c r="AG28" s="3">
        <v>0.18</v>
      </c>
      <c r="AH28" t="s">
        <v>123</v>
      </c>
      <c r="AI28" s="3">
        <v>0.18</v>
      </c>
      <c r="AJ28" t="s">
        <v>123</v>
      </c>
      <c r="AK28" s="3">
        <v>0.18</v>
      </c>
      <c r="AL28" t="s">
        <v>123</v>
      </c>
      <c r="AM28" s="3">
        <v>0.18</v>
      </c>
      <c r="AO28" s="3"/>
      <c r="AQ28" s="3"/>
      <c r="AS28" s="3"/>
      <c r="AT28" t="s">
        <v>254</v>
      </c>
      <c r="AU28" s="3">
        <v>0.75</v>
      </c>
      <c r="BE28" s="7"/>
      <c r="BF28" t="s">
        <v>280</v>
      </c>
      <c r="BG28" s="7">
        <v>1</v>
      </c>
      <c r="BK28" s="74"/>
      <c r="BL28" s="74"/>
      <c r="BM28" s="75" t="s">
        <v>1528</v>
      </c>
      <c r="BN28" s="75">
        <v>1.05</v>
      </c>
      <c r="BO28" s="77" t="s">
        <v>357</v>
      </c>
      <c r="BP28" s="77">
        <v>1.75</v>
      </c>
      <c r="BQ28" s="79" t="s">
        <v>336</v>
      </c>
      <c r="BR28" s="79">
        <v>0.8</v>
      </c>
      <c r="CD28" t="s">
        <v>878</v>
      </c>
      <c r="CE28" t="s">
        <v>1295</v>
      </c>
      <c r="CF28" t="s">
        <v>1090</v>
      </c>
    </row>
    <row r="29" spans="1:84" x14ac:dyDescent="0.25">
      <c r="A29" t="s">
        <v>17</v>
      </c>
      <c r="F29" s="2">
        <v>1.0015624999999999</v>
      </c>
      <c r="G29" t="s">
        <v>60</v>
      </c>
      <c r="H29" s="1"/>
      <c r="I29" s="1">
        <v>7</v>
      </c>
      <c r="J29" s="1"/>
      <c r="K29" s="1"/>
      <c r="L29" s="1"/>
      <c r="M29" s="1"/>
      <c r="N29" s="1"/>
      <c r="O29" s="1"/>
      <c r="P29" s="1"/>
      <c r="Q29" s="1"/>
      <c r="R29" s="1"/>
      <c r="S29">
        <f t="shared" si="1"/>
        <v>7</v>
      </c>
      <c r="T29">
        <v>1</v>
      </c>
      <c r="U29" s="1" t="s">
        <v>231</v>
      </c>
      <c r="W29" s="3" t="e">
        <f t="shared" si="2"/>
        <v>#N/A</v>
      </c>
      <c r="X29" s="3" t="e">
        <f t="shared" si="3"/>
        <v>#N/A</v>
      </c>
      <c r="Y29" s="3" t="e">
        <f t="shared" si="4"/>
        <v>#N/A</v>
      </c>
      <c r="Z29" s="3" t="e">
        <f t="shared" si="5"/>
        <v>#N/A</v>
      </c>
      <c r="AF29" t="s">
        <v>124</v>
      </c>
      <c r="AG29" s="3">
        <v>0.19500000000000001</v>
      </c>
      <c r="AH29" t="s">
        <v>124</v>
      </c>
      <c r="AI29" s="3">
        <v>0.19500000000000001</v>
      </c>
      <c r="AJ29" t="s">
        <v>124</v>
      </c>
      <c r="AK29" s="3">
        <v>0.19500000000000001</v>
      </c>
      <c r="AL29" t="s">
        <v>124</v>
      </c>
      <c r="AM29" s="3">
        <v>0.19500000000000001</v>
      </c>
      <c r="AO29" s="3"/>
      <c r="AQ29" s="3"/>
      <c r="AS29" s="3"/>
      <c r="AT29" t="s">
        <v>255</v>
      </c>
      <c r="AU29" s="3">
        <v>0.9</v>
      </c>
      <c r="BE29" s="7"/>
      <c r="BF29" t="s">
        <v>281</v>
      </c>
      <c r="BG29" s="7">
        <v>1</v>
      </c>
      <c r="BK29" s="74"/>
      <c r="BL29" s="74"/>
      <c r="BM29" s="75" t="s">
        <v>389</v>
      </c>
      <c r="BN29" s="75">
        <v>0.7</v>
      </c>
      <c r="BO29" s="77" t="s">
        <v>358</v>
      </c>
      <c r="BP29" s="77">
        <v>1.8</v>
      </c>
      <c r="BQ29" s="79" t="s">
        <v>337</v>
      </c>
      <c r="BR29" s="79">
        <v>0.5</v>
      </c>
      <c r="CD29" t="s">
        <v>879</v>
      </c>
      <c r="CE29" t="s">
        <v>1432</v>
      </c>
      <c r="CF29" t="s">
        <v>1091</v>
      </c>
    </row>
    <row r="30" spans="1:84" x14ac:dyDescent="0.2">
      <c r="A30" t="s">
        <v>12</v>
      </c>
      <c r="F30" s="2">
        <v>1.0016203703703703</v>
      </c>
      <c r="G30" t="s">
        <v>61</v>
      </c>
      <c r="H30" s="1">
        <v>5</v>
      </c>
      <c r="I30" s="1">
        <v>2</v>
      </c>
      <c r="J30" s="1">
        <v>1</v>
      </c>
      <c r="K30" s="1"/>
      <c r="L30" s="1"/>
      <c r="M30" s="1"/>
      <c r="N30" s="1"/>
      <c r="O30" s="1"/>
      <c r="P30" s="1"/>
      <c r="Q30" s="1"/>
      <c r="R30" s="1"/>
      <c r="S30">
        <f t="shared" si="1"/>
        <v>8</v>
      </c>
      <c r="T30">
        <v>7</v>
      </c>
      <c r="U30" s="1" t="s">
        <v>232</v>
      </c>
      <c r="W30" s="3" t="e">
        <f t="shared" si="2"/>
        <v>#N/A</v>
      </c>
      <c r="X30" s="3" t="e">
        <f t="shared" si="3"/>
        <v>#N/A</v>
      </c>
      <c r="Y30" s="3" t="e">
        <f t="shared" si="4"/>
        <v>#N/A</v>
      </c>
      <c r="Z30" s="3" t="e">
        <f t="shared" si="5"/>
        <v>#N/A</v>
      </c>
      <c r="AF30" t="s">
        <v>125</v>
      </c>
      <c r="AG30" s="3">
        <v>0.15</v>
      </c>
      <c r="AH30" t="s">
        <v>125</v>
      </c>
      <c r="AI30" s="3">
        <v>0.15</v>
      </c>
      <c r="AJ30" t="s">
        <v>125</v>
      </c>
      <c r="AK30" s="3">
        <v>0.15</v>
      </c>
      <c r="AL30" t="s">
        <v>125</v>
      </c>
      <c r="AM30" s="3">
        <v>0.15</v>
      </c>
      <c r="AO30" s="3"/>
      <c r="AQ30" s="3"/>
      <c r="AS30" s="3"/>
      <c r="AT30" t="s">
        <v>256</v>
      </c>
      <c r="AU30" s="3">
        <v>0.09</v>
      </c>
      <c r="BE30" s="7"/>
      <c r="BF30" t="s">
        <v>1539</v>
      </c>
      <c r="BG30" s="7">
        <v>1</v>
      </c>
      <c r="BK30" s="74"/>
      <c r="BL30" s="74"/>
      <c r="BM30" s="75" t="s">
        <v>390</v>
      </c>
      <c r="BN30" s="75">
        <v>1.1000000000000001</v>
      </c>
      <c r="BO30" s="77" t="s">
        <v>359</v>
      </c>
      <c r="BP30" s="77">
        <v>1.45</v>
      </c>
      <c r="BQ30" s="79" t="s">
        <v>338</v>
      </c>
      <c r="BR30" s="79">
        <v>0.3</v>
      </c>
      <c r="CD30" t="s">
        <v>880</v>
      </c>
      <c r="CE30" t="s">
        <v>1472</v>
      </c>
      <c r="CF30" t="s">
        <v>1092</v>
      </c>
    </row>
    <row r="31" spans="1:84" x14ac:dyDescent="0.25">
      <c r="A31" t="s">
        <v>16</v>
      </c>
      <c r="D31">
        <v>3</v>
      </c>
      <c r="E31" t="s">
        <v>28</v>
      </c>
      <c r="F31" s="2">
        <v>1.0019097222222222</v>
      </c>
      <c r="G31" t="s">
        <v>62</v>
      </c>
      <c r="H31" s="1"/>
      <c r="I31" s="1">
        <v>7</v>
      </c>
      <c r="J31" s="1">
        <v>2</v>
      </c>
      <c r="K31" s="1"/>
      <c r="L31" s="1"/>
      <c r="M31" s="1"/>
      <c r="N31" s="1"/>
      <c r="O31" s="1"/>
      <c r="P31" s="1"/>
      <c r="Q31" s="1"/>
      <c r="R31" s="1"/>
      <c r="S31">
        <f t="shared" si="1"/>
        <v>9</v>
      </c>
      <c r="T31">
        <v>2</v>
      </c>
      <c r="U31" s="1" t="s">
        <v>232</v>
      </c>
      <c r="W31" s="3" t="e">
        <f t="shared" si="2"/>
        <v>#N/A</v>
      </c>
      <c r="X31" s="3" t="e">
        <f t="shared" si="3"/>
        <v>#N/A</v>
      </c>
      <c r="Y31" s="3" t="e">
        <f t="shared" si="4"/>
        <v>#N/A</v>
      </c>
      <c r="Z31" s="3" t="e">
        <f t="shared" si="5"/>
        <v>#N/A</v>
      </c>
      <c r="AF31" t="s">
        <v>126</v>
      </c>
      <c r="AG31" s="3">
        <v>0.35</v>
      </c>
      <c r="AH31" t="s">
        <v>126</v>
      </c>
      <c r="AI31" s="3">
        <v>0.35</v>
      </c>
      <c r="AJ31" t="s">
        <v>126</v>
      </c>
      <c r="AK31" s="3">
        <v>0.35</v>
      </c>
      <c r="AL31" t="s">
        <v>126</v>
      </c>
      <c r="AM31" s="3">
        <v>0.35</v>
      </c>
      <c r="AO31" s="3"/>
      <c r="AQ31" s="3"/>
      <c r="AS31" s="3"/>
      <c r="AT31" t="s">
        <v>257</v>
      </c>
      <c r="AU31" s="3">
        <v>0.18</v>
      </c>
      <c r="BE31" s="7"/>
      <c r="BF31" t="s">
        <v>282</v>
      </c>
      <c r="BG31" s="7">
        <v>1.2</v>
      </c>
      <c r="BK31" s="74"/>
      <c r="BL31" s="74"/>
      <c r="BM31" s="75" t="s">
        <v>391</v>
      </c>
      <c r="BN31" s="75">
        <v>1.4</v>
      </c>
      <c r="BO31" s="77" t="s">
        <v>360</v>
      </c>
      <c r="BP31" s="77">
        <v>1.1499999999999999</v>
      </c>
      <c r="BQ31" s="79" t="s">
        <v>339</v>
      </c>
      <c r="BR31" s="79">
        <v>1</v>
      </c>
      <c r="CD31" t="s">
        <v>881</v>
      </c>
      <c r="CE31" t="s">
        <v>1296</v>
      </c>
      <c r="CF31" t="s">
        <v>1093</v>
      </c>
    </row>
    <row r="32" spans="1:84" x14ac:dyDescent="0.2">
      <c r="D32">
        <v>3</v>
      </c>
      <c r="E32" t="s">
        <v>26</v>
      </c>
      <c r="F32" s="2">
        <v>1.0016203703703703</v>
      </c>
      <c r="G32" t="s">
        <v>63</v>
      </c>
      <c r="H32" s="1">
        <v>5</v>
      </c>
      <c r="I32" s="1">
        <v>1</v>
      </c>
      <c r="J32" s="1">
        <v>1</v>
      </c>
      <c r="K32" s="1">
        <v>1</v>
      </c>
      <c r="L32" s="1"/>
      <c r="M32" s="1"/>
      <c r="N32" s="1"/>
      <c r="O32" s="1"/>
      <c r="P32" s="1"/>
      <c r="Q32" s="1"/>
      <c r="R32" s="1"/>
      <c r="S32">
        <f t="shared" si="1"/>
        <v>8</v>
      </c>
      <c r="T32">
        <v>8</v>
      </c>
      <c r="U32" s="1" t="s">
        <v>233</v>
      </c>
      <c r="W32" s="3" t="e">
        <f t="shared" si="2"/>
        <v>#N/A</v>
      </c>
      <c r="X32" s="3" t="e">
        <f t="shared" si="3"/>
        <v>#N/A</v>
      </c>
      <c r="Y32" s="3" t="e">
        <f t="shared" si="4"/>
        <v>#N/A</v>
      </c>
      <c r="Z32" s="3" t="e">
        <f t="shared" si="5"/>
        <v>#N/A</v>
      </c>
      <c r="AF32" t="s">
        <v>127</v>
      </c>
      <c r="AG32" s="3">
        <v>0.45</v>
      </c>
      <c r="AH32" t="s">
        <v>127</v>
      </c>
      <c r="AI32" s="3">
        <v>0.45</v>
      </c>
      <c r="AJ32" t="s">
        <v>127</v>
      </c>
      <c r="AK32" s="3">
        <v>0.45</v>
      </c>
      <c r="AL32" t="s">
        <v>127</v>
      </c>
      <c r="AM32" s="3">
        <v>0.45</v>
      </c>
      <c r="AO32" s="3"/>
      <c r="AQ32" s="3"/>
      <c r="AS32" s="3"/>
      <c r="AT32" t="s">
        <v>258</v>
      </c>
      <c r="AU32" s="3">
        <v>0.27</v>
      </c>
      <c r="BE32" s="7"/>
      <c r="BF32" t="s">
        <v>283</v>
      </c>
      <c r="BG32" s="7">
        <v>1.2</v>
      </c>
      <c r="BK32" s="74"/>
      <c r="BL32" s="74"/>
      <c r="BM32" s="75" t="s">
        <v>392</v>
      </c>
      <c r="BN32" s="75">
        <v>0.7</v>
      </c>
      <c r="BO32" s="77" t="s">
        <v>800</v>
      </c>
      <c r="BP32" s="77">
        <v>0.7</v>
      </c>
      <c r="BQ32" s="79" t="s">
        <v>340</v>
      </c>
      <c r="BR32" s="79">
        <v>0.8</v>
      </c>
      <c r="CD32" t="s">
        <v>882</v>
      </c>
      <c r="CE32" t="s">
        <v>1433</v>
      </c>
      <c r="CF32" t="s">
        <v>1094</v>
      </c>
    </row>
    <row r="33" spans="4:84" x14ac:dyDescent="0.2">
      <c r="D33">
        <v>3</v>
      </c>
      <c r="E33" t="s">
        <v>747</v>
      </c>
      <c r="F33" s="2">
        <v>1.0019097222222222</v>
      </c>
      <c r="G33" t="s">
        <v>64</v>
      </c>
      <c r="H33" s="1"/>
      <c r="I33" s="1">
        <v>6</v>
      </c>
      <c r="J33" s="1">
        <v>2</v>
      </c>
      <c r="K33" s="1">
        <v>1</v>
      </c>
      <c r="L33" s="1"/>
      <c r="M33" s="1"/>
      <c r="N33" s="1"/>
      <c r="O33" s="1"/>
      <c r="P33" s="1"/>
      <c r="Q33" s="1">
        <v>2</v>
      </c>
      <c r="R33" s="1"/>
      <c r="S33">
        <f t="shared" si="1"/>
        <v>11</v>
      </c>
      <c r="T33">
        <v>3</v>
      </c>
      <c r="U33" s="1" t="s">
        <v>233</v>
      </c>
      <c r="W33" s="3" t="e">
        <f t="shared" si="2"/>
        <v>#N/A</v>
      </c>
      <c r="X33" s="3" t="e">
        <f t="shared" si="3"/>
        <v>#N/A</v>
      </c>
      <c r="Y33" s="3" t="e">
        <f t="shared" si="4"/>
        <v>#N/A</v>
      </c>
      <c r="Z33" s="3" t="e">
        <f t="shared" si="5"/>
        <v>#N/A</v>
      </c>
      <c r="AF33" t="s">
        <v>128</v>
      </c>
      <c r="AG33" s="3">
        <v>0.55000000000000004</v>
      </c>
      <c r="AH33" t="s">
        <v>128</v>
      </c>
      <c r="AI33" s="3">
        <v>0.55000000000000004</v>
      </c>
      <c r="AJ33" t="s">
        <v>128</v>
      </c>
      <c r="AK33" s="3">
        <v>0.55000000000000004</v>
      </c>
      <c r="AL33" t="s">
        <v>128</v>
      </c>
      <c r="AM33" s="3">
        <v>0.55000000000000004</v>
      </c>
      <c r="AT33" t="s">
        <v>259</v>
      </c>
      <c r="AU33" s="3">
        <v>0.36</v>
      </c>
      <c r="BE33" s="7"/>
      <c r="BF33" t="s">
        <v>284</v>
      </c>
      <c r="BG33" s="7">
        <v>1.2</v>
      </c>
      <c r="BK33" s="74"/>
      <c r="BL33" s="74"/>
      <c r="BM33" s="75" t="s">
        <v>393</v>
      </c>
      <c r="BN33" s="75">
        <v>0.9</v>
      </c>
      <c r="BO33" s="77" t="s">
        <v>801</v>
      </c>
      <c r="BP33" s="77">
        <v>1.05</v>
      </c>
      <c r="BQ33" s="79" t="s">
        <v>341</v>
      </c>
      <c r="BR33" s="79">
        <v>1.2</v>
      </c>
      <c r="CD33" t="s">
        <v>883</v>
      </c>
      <c r="CE33" t="s">
        <v>1297</v>
      </c>
      <c r="CF33" t="s">
        <v>1095</v>
      </c>
    </row>
    <row r="34" spans="4:84" x14ac:dyDescent="0.25">
      <c r="D34">
        <v>3</v>
      </c>
      <c r="E34" t="s">
        <v>19</v>
      </c>
      <c r="F34" s="2">
        <v>1.0019675925925926</v>
      </c>
      <c r="G34" t="s">
        <v>65</v>
      </c>
      <c r="H34" s="1">
        <v>5</v>
      </c>
      <c r="I34" s="1">
        <v>2</v>
      </c>
      <c r="J34" s="1">
        <v>1</v>
      </c>
      <c r="K34" s="1"/>
      <c r="L34" s="1"/>
      <c r="M34" s="1"/>
      <c r="N34" s="1"/>
      <c r="O34" s="1"/>
      <c r="P34" s="1"/>
      <c r="Q34" s="1"/>
      <c r="R34" s="1">
        <v>1</v>
      </c>
      <c r="S34">
        <f t="shared" si="1"/>
        <v>9</v>
      </c>
      <c r="T34">
        <v>9</v>
      </c>
      <c r="U34" s="1" t="s">
        <v>234</v>
      </c>
      <c r="W34" s="3" t="e">
        <f t="shared" si="2"/>
        <v>#N/A</v>
      </c>
      <c r="X34" s="3" t="e">
        <f t="shared" si="3"/>
        <v>#N/A</v>
      </c>
      <c r="Y34" s="3" t="e">
        <f t="shared" si="4"/>
        <v>#N/A</v>
      </c>
      <c r="Z34" s="3" t="e">
        <f t="shared" si="5"/>
        <v>#N/A</v>
      </c>
      <c r="AF34" t="s">
        <v>129</v>
      </c>
      <c r="AG34" s="3">
        <v>0.6</v>
      </c>
      <c r="AH34" t="s">
        <v>129</v>
      </c>
      <c r="AI34" s="3">
        <v>0.6</v>
      </c>
      <c r="AJ34" t="s">
        <v>129</v>
      </c>
      <c r="AK34" s="3">
        <v>0.6</v>
      </c>
      <c r="AL34" t="s">
        <v>129</v>
      </c>
      <c r="AM34" s="3">
        <v>0.6</v>
      </c>
      <c r="AT34" t="s">
        <v>260</v>
      </c>
      <c r="AU34" s="3">
        <v>0.44999999999999996</v>
      </c>
      <c r="BE34" s="7"/>
      <c r="BF34" t="s">
        <v>285</v>
      </c>
      <c r="BG34" s="7">
        <v>1.2</v>
      </c>
      <c r="BK34" s="74"/>
      <c r="BL34" s="74"/>
      <c r="BM34" s="75" t="s">
        <v>394</v>
      </c>
      <c r="BN34" s="75">
        <v>0.8</v>
      </c>
      <c r="BO34" s="77" t="s">
        <v>361</v>
      </c>
      <c r="BP34" s="77">
        <v>1.85</v>
      </c>
      <c r="BQ34" s="79" t="s">
        <v>1516</v>
      </c>
      <c r="BR34" s="79">
        <v>1.8</v>
      </c>
      <c r="CD34" t="s">
        <v>884</v>
      </c>
      <c r="CE34" t="s">
        <v>1298</v>
      </c>
      <c r="CF34" t="s">
        <v>1096</v>
      </c>
    </row>
    <row r="35" spans="4:84" x14ac:dyDescent="0.2">
      <c r="D35">
        <v>3</v>
      </c>
      <c r="E35" t="s">
        <v>777</v>
      </c>
      <c r="F35" s="2">
        <v>1.0024305555555555</v>
      </c>
      <c r="G35" t="s">
        <v>66</v>
      </c>
      <c r="H35" s="1"/>
      <c r="I35" s="1">
        <v>7</v>
      </c>
      <c r="J35" s="1">
        <v>4</v>
      </c>
      <c r="K35" s="1"/>
      <c r="L35" s="1"/>
      <c r="M35" s="1"/>
      <c r="N35" s="1"/>
      <c r="O35" s="1"/>
      <c r="P35" s="1"/>
      <c r="Q35" s="1"/>
      <c r="R35" s="1"/>
      <c r="S35">
        <f t="shared" si="1"/>
        <v>11</v>
      </c>
      <c r="T35">
        <v>12</v>
      </c>
      <c r="U35" s="1" t="s">
        <v>234</v>
      </c>
      <c r="W35" s="3" t="e">
        <f t="shared" si="2"/>
        <v>#N/A</v>
      </c>
      <c r="X35" s="3" t="e">
        <f t="shared" si="3"/>
        <v>#N/A</v>
      </c>
      <c r="Y35" s="3" t="e">
        <f t="shared" si="4"/>
        <v>#N/A</v>
      </c>
      <c r="Z35" s="3" t="e">
        <f t="shared" si="5"/>
        <v>#N/A</v>
      </c>
      <c r="AF35" t="s">
        <v>130</v>
      </c>
      <c r="AG35" s="3">
        <v>0.65</v>
      </c>
      <c r="AH35" t="s">
        <v>130</v>
      </c>
      <c r="AI35" s="3">
        <v>0.65</v>
      </c>
      <c r="AJ35" t="s">
        <v>130</v>
      </c>
      <c r="AK35" s="3">
        <v>0.65</v>
      </c>
      <c r="AL35" t="s">
        <v>130</v>
      </c>
      <c r="AM35" s="3">
        <v>0.65</v>
      </c>
      <c r="AT35" t="s">
        <v>261</v>
      </c>
      <c r="AU35" s="3">
        <v>0.54</v>
      </c>
      <c r="BE35" s="7"/>
      <c r="BF35" t="s">
        <v>286</v>
      </c>
      <c r="BG35" s="7">
        <v>1.2</v>
      </c>
      <c r="BK35" s="74"/>
      <c r="BL35" s="74"/>
      <c r="BM35" s="75" t="s">
        <v>395</v>
      </c>
      <c r="BN35" s="75">
        <v>0.8</v>
      </c>
      <c r="BO35" s="77" t="s">
        <v>362</v>
      </c>
      <c r="BP35" s="77">
        <v>0.95</v>
      </c>
      <c r="BQ35" s="79"/>
      <c r="BR35" s="79"/>
      <c r="CD35" t="s">
        <v>885</v>
      </c>
      <c r="CE35" t="s">
        <v>1299</v>
      </c>
      <c r="CF35" t="s">
        <v>1097</v>
      </c>
    </row>
    <row r="36" spans="4:84" x14ac:dyDescent="0.2">
      <c r="F36" s="2">
        <v>1.0020833333333334</v>
      </c>
      <c r="G36" t="s">
        <v>67</v>
      </c>
      <c r="H36" s="1"/>
      <c r="I36" s="1"/>
      <c r="J36" s="1">
        <v>7</v>
      </c>
      <c r="K36" s="1"/>
      <c r="L36" s="1"/>
      <c r="M36" s="1"/>
      <c r="N36" s="1"/>
      <c r="O36" s="1"/>
      <c r="P36" s="1"/>
      <c r="Q36" s="1"/>
      <c r="R36" s="1"/>
      <c r="S36">
        <f t="shared" si="1"/>
        <v>7</v>
      </c>
      <c r="T36">
        <v>10</v>
      </c>
      <c r="U36" s="1" t="s">
        <v>234</v>
      </c>
      <c r="W36" s="3" t="e">
        <f t="shared" si="2"/>
        <v>#N/A</v>
      </c>
      <c r="X36" s="3" t="e">
        <f t="shared" si="3"/>
        <v>#N/A</v>
      </c>
      <c r="Y36" s="3" t="e">
        <f t="shared" si="4"/>
        <v>#N/A</v>
      </c>
      <c r="Z36" s="3" t="e">
        <f t="shared" si="5"/>
        <v>#N/A</v>
      </c>
      <c r="AF36" t="s">
        <v>131</v>
      </c>
      <c r="AG36" s="3">
        <v>0.7</v>
      </c>
      <c r="AH36" t="s">
        <v>131</v>
      </c>
      <c r="AI36" s="3">
        <v>0.7</v>
      </c>
      <c r="AJ36" t="s">
        <v>131</v>
      </c>
      <c r="AK36" s="3">
        <v>0.7</v>
      </c>
      <c r="AL36" t="s">
        <v>131</v>
      </c>
      <c r="AM36" s="3">
        <v>0.7</v>
      </c>
      <c r="AU36" s="3"/>
      <c r="BE36" s="7"/>
      <c r="BF36" t="s">
        <v>287</v>
      </c>
      <c r="BG36" s="7">
        <v>1.2</v>
      </c>
      <c r="BK36" s="74"/>
      <c r="BL36" s="74"/>
      <c r="BM36" s="75" t="s">
        <v>396</v>
      </c>
      <c r="BN36" s="75">
        <v>0.4</v>
      </c>
      <c r="BO36" s="77" t="s">
        <v>363</v>
      </c>
      <c r="BP36" s="77">
        <v>1.35</v>
      </c>
      <c r="BQ36" s="79"/>
      <c r="BR36" s="79"/>
      <c r="CD36" t="s">
        <v>886</v>
      </c>
      <c r="CE36" t="s">
        <v>1300</v>
      </c>
      <c r="CF36" t="s">
        <v>1098</v>
      </c>
    </row>
    <row r="37" spans="4:84" x14ac:dyDescent="0.25">
      <c r="W37" s="3" t="e">
        <f t="shared" si="2"/>
        <v>#N/A</v>
      </c>
      <c r="X37" s="3" t="e">
        <f t="shared" si="3"/>
        <v>#N/A</v>
      </c>
      <c r="Y37" s="3" t="e">
        <f t="shared" si="4"/>
        <v>#N/A</v>
      </c>
      <c r="Z37" s="3" t="e">
        <f t="shared" si="5"/>
        <v>#N/A</v>
      </c>
      <c r="AF37" t="s">
        <v>132</v>
      </c>
      <c r="AG37" s="3">
        <v>0.75</v>
      </c>
      <c r="AH37" t="s">
        <v>132</v>
      </c>
      <c r="AI37" s="3">
        <v>0.75</v>
      </c>
      <c r="AJ37" t="s">
        <v>132</v>
      </c>
      <c r="AK37" s="3">
        <v>0.75</v>
      </c>
      <c r="AL37" t="s">
        <v>132</v>
      </c>
      <c r="AM37" s="3">
        <v>0.75</v>
      </c>
      <c r="AU37" s="3"/>
      <c r="BE37" s="7"/>
      <c r="BF37" t="s">
        <v>288</v>
      </c>
      <c r="BG37" s="7">
        <v>1.4</v>
      </c>
      <c r="BK37" s="74"/>
      <c r="BL37" s="74"/>
      <c r="BM37" s="75" t="s">
        <v>397</v>
      </c>
      <c r="BN37" s="75">
        <v>0.3</v>
      </c>
      <c r="BO37" s="77" t="s">
        <v>364</v>
      </c>
      <c r="BP37" s="77">
        <v>1.6</v>
      </c>
      <c r="BQ37" s="79"/>
      <c r="BR37" s="79"/>
      <c r="CD37" t="s">
        <v>887</v>
      </c>
      <c r="CE37" t="s">
        <v>1434</v>
      </c>
      <c r="CF37" t="s">
        <v>1099</v>
      </c>
    </row>
    <row r="38" spans="4:84" x14ac:dyDescent="0.25">
      <c r="T38">
        <v>1</v>
      </c>
      <c r="W38" s="3" t="e">
        <f t="shared" si="2"/>
        <v>#N/A</v>
      </c>
      <c r="X38" s="3" t="e">
        <f t="shared" si="3"/>
        <v>#N/A</v>
      </c>
      <c r="Y38" s="3" t="e">
        <f t="shared" si="4"/>
        <v>#N/A</v>
      </c>
      <c r="Z38" s="3" t="e">
        <f t="shared" si="5"/>
        <v>#N/A</v>
      </c>
      <c r="AF38" t="s">
        <v>133</v>
      </c>
      <c r="AG38" s="3">
        <v>0.8</v>
      </c>
      <c r="AH38" t="s">
        <v>133</v>
      </c>
      <c r="AI38" s="3">
        <v>0.8</v>
      </c>
      <c r="AJ38" t="s">
        <v>133</v>
      </c>
      <c r="AK38" s="3">
        <v>0.8</v>
      </c>
      <c r="AL38" t="s">
        <v>133</v>
      </c>
      <c r="AM38" s="3">
        <v>0.8</v>
      </c>
      <c r="AU38" s="3"/>
      <c r="BE38" s="7"/>
      <c r="BF38" t="s">
        <v>289</v>
      </c>
      <c r="BG38" s="7">
        <v>1.4</v>
      </c>
      <c r="BK38" s="74"/>
      <c r="BL38" s="74"/>
      <c r="BM38" s="75" t="s">
        <v>398</v>
      </c>
      <c r="BN38" s="75">
        <v>1.1000000000000001</v>
      </c>
      <c r="BO38" s="77" t="s">
        <v>365</v>
      </c>
      <c r="BP38" s="77">
        <v>1.45</v>
      </c>
      <c r="BQ38" s="79"/>
      <c r="BR38" s="79"/>
      <c r="CD38" t="s">
        <v>888</v>
      </c>
      <c r="CE38" t="s">
        <v>1435</v>
      </c>
      <c r="CF38" t="s">
        <v>1100</v>
      </c>
    </row>
    <row r="39" spans="4:84" x14ac:dyDescent="0.25">
      <c r="T39">
        <v>2</v>
      </c>
      <c r="W39" s="3" t="e">
        <f t="shared" si="2"/>
        <v>#N/A</v>
      </c>
      <c r="X39" s="3" t="e">
        <f t="shared" si="3"/>
        <v>#N/A</v>
      </c>
      <c r="Y39" s="3" t="e">
        <f t="shared" si="4"/>
        <v>#N/A</v>
      </c>
      <c r="Z39" s="3" t="e">
        <f t="shared" si="5"/>
        <v>#N/A</v>
      </c>
      <c r="AF39" t="s">
        <v>134</v>
      </c>
      <c r="AG39" s="3">
        <v>7.4999999999999997E-2</v>
      </c>
      <c r="AH39" t="s">
        <v>134</v>
      </c>
      <c r="AI39" s="3">
        <v>7.4999999999999997E-2</v>
      </c>
      <c r="AJ39" t="s">
        <v>134</v>
      </c>
      <c r="AK39" s="3">
        <v>7.4999999999999997E-2</v>
      </c>
      <c r="AL39" t="s">
        <v>134</v>
      </c>
      <c r="AM39" s="3">
        <v>7.4999999999999997E-2</v>
      </c>
      <c r="AU39" s="3"/>
      <c r="BE39" s="7"/>
      <c r="BF39" t="s">
        <v>290</v>
      </c>
      <c r="BG39" s="7">
        <v>1.6</v>
      </c>
      <c r="BK39" s="74"/>
      <c r="BL39" s="74"/>
      <c r="BM39" s="75" t="s">
        <v>399</v>
      </c>
      <c r="BN39" s="75">
        <v>0.7</v>
      </c>
      <c r="BO39" s="77" t="s">
        <v>366</v>
      </c>
      <c r="BP39" s="77">
        <v>1.55</v>
      </c>
      <c r="BQ39" s="79"/>
      <c r="BR39" s="79"/>
      <c r="CD39" t="s">
        <v>889</v>
      </c>
      <c r="CE39" t="s">
        <v>1436</v>
      </c>
      <c r="CF39" t="s">
        <v>1101</v>
      </c>
    </row>
    <row r="40" spans="4:84" x14ac:dyDescent="0.25">
      <c r="T40">
        <v>3</v>
      </c>
      <c r="W40" s="3" t="e">
        <f t="shared" si="2"/>
        <v>#N/A</v>
      </c>
      <c r="X40" s="3" t="e">
        <f t="shared" si="3"/>
        <v>#N/A</v>
      </c>
      <c r="Y40" s="3" t="e">
        <f t="shared" si="4"/>
        <v>#N/A</v>
      </c>
      <c r="Z40" s="3" t="e">
        <f t="shared" si="5"/>
        <v>#N/A</v>
      </c>
      <c r="AF40" t="s">
        <v>135</v>
      </c>
      <c r="AG40" s="3">
        <v>0.17499999999999999</v>
      </c>
      <c r="AH40" t="s">
        <v>135</v>
      </c>
      <c r="AI40" s="3">
        <v>0.17499999999999999</v>
      </c>
      <c r="AJ40" t="s">
        <v>135</v>
      </c>
      <c r="AK40" s="3">
        <v>0.17499999999999999</v>
      </c>
      <c r="AL40" t="s">
        <v>135</v>
      </c>
      <c r="AM40" s="3">
        <v>0.17499999999999999</v>
      </c>
      <c r="AU40" s="3"/>
      <c r="BE40" s="7"/>
      <c r="BF40" t="s">
        <v>291</v>
      </c>
      <c r="BG40" s="7">
        <v>2</v>
      </c>
      <c r="BK40" s="74"/>
      <c r="BL40" s="74"/>
      <c r="BM40" s="75" t="s">
        <v>400</v>
      </c>
      <c r="BN40" s="75">
        <v>0.95</v>
      </c>
      <c r="BO40" s="77" t="s">
        <v>367</v>
      </c>
      <c r="BP40" s="77">
        <v>1.5</v>
      </c>
      <c r="BQ40" s="79"/>
      <c r="BR40" s="79"/>
      <c r="CD40" t="s">
        <v>890</v>
      </c>
      <c r="CE40" t="s">
        <v>1301</v>
      </c>
      <c r="CF40" t="s">
        <v>1102</v>
      </c>
    </row>
    <row r="41" spans="4:84" x14ac:dyDescent="0.2">
      <c r="D41">
        <v>4</v>
      </c>
      <c r="E41" t="s">
        <v>28</v>
      </c>
      <c r="L41" t="s">
        <v>82</v>
      </c>
      <c r="M41" t="s">
        <v>81</v>
      </c>
      <c r="N41">
        <f ca="1">SUM(INDIRECT(L41))</f>
        <v>7</v>
      </c>
      <c r="T41">
        <v>4</v>
      </c>
      <c r="W41" s="3" t="e">
        <f t="shared" si="2"/>
        <v>#N/A</v>
      </c>
      <c r="X41" s="3" t="e">
        <f t="shared" si="3"/>
        <v>#N/A</v>
      </c>
      <c r="Y41" s="3" t="e">
        <f t="shared" si="4"/>
        <v>#N/A</v>
      </c>
      <c r="Z41" s="3" t="e">
        <f t="shared" si="5"/>
        <v>#N/A</v>
      </c>
      <c r="AF41" t="s">
        <v>136</v>
      </c>
      <c r="AG41" s="3">
        <v>0.22500000000000001</v>
      </c>
      <c r="AH41" t="s">
        <v>136</v>
      </c>
      <c r="AI41" s="3">
        <v>0.22500000000000001</v>
      </c>
      <c r="AJ41" t="s">
        <v>136</v>
      </c>
      <c r="AK41" s="3">
        <v>0.22500000000000001</v>
      </c>
      <c r="AL41" t="s">
        <v>136</v>
      </c>
      <c r="AM41" s="3">
        <v>0.22500000000000001</v>
      </c>
      <c r="AU41" s="3"/>
      <c r="BE41" s="7"/>
      <c r="BF41" t="s">
        <v>292</v>
      </c>
      <c r="BG41" s="7">
        <v>2</v>
      </c>
      <c r="BK41" s="74"/>
      <c r="BL41" s="74"/>
      <c r="BM41" s="75" t="s">
        <v>401</v>
      </c>
      <c r="BN41" s="75">
        <v>1.25</v>
      </c>
      <c r="BO41" s="77" t="s">
        <v>368</v>
      </c>
      <c r="BP41" s="77">
        <v>0.5</v>
      </c>
      <c r="BQ41" s="79"/>
      <c r="BR41" s="79"/>
      <c r="CD41" t="s">
        <v>891</v>
      </c>
      <c r="CE41" t="s">
        <v>1302</v>
      </c>
      <c r="CF41" t="s">
        <v>1103</v>
      </c>
    </row>
    <row r="42" spans="4:84" x14ac:dyDescent="0.25">
      <c r="D42">
        <v>4</v>
      </c>
      <c r="E42" t="s">
        <v>743</v>
      </c>
      <c r="M42" t="s">
        <v>83</v>
      </c>
      <c r="W42" s="3" t="e">
        <f t="shared" si="2"/>
        <v>#N/A</v>
      </c>
      <c r="X42" s="3" t="e">
        <f t="shared" si="3"/>
        <v>#N/A</v>
      </c>
      <c r="Y42" s="3" t="e">
        <f t="shared" si="4"/>
        <v>#N/A</v>
      </c>
      <c r="Z42" s="3" t="e">
        <f t="shared" si="5"/>
        <v>#N/A</v>
      </c>
      <c r="AF42" t="s">
        <v>137</v>
      </c>
      <c r="AG42" s="3">
        <v>0.27500000000000002</v>
      </c>
      <c r="AH42" t="s">
        <v>137</v>
      </c>
      <c r="AI42" s="3">
        <v>0.27500000000000002</v>
      </c>
      <c r="AJ42" t="s">
        <v>137</v>
      </c>
      <c r="AK42" s="3">
        <v>0.27500000000000002</v>
      </c>
      <c r="AL42" t="s">
        <v>137</v>
      </c>
      <c r="AM42" s="3">
        <v>0.27500000000000002</v>
      </c>
      <c r="BF42" t="s">
        <v>293</v>
      </c>
      <c r="BG42" s="7">
        <v>2.2000000000000002</v>
      </c>
      <c r="BK42" s="74"/>
      <c r="BL42" s="74"/>
      <c r="BM42" s="75" t="s">
        <v>402</v>
      </c>
      <c r="BN42" s="75">
        <v>1.2</v>
      </c>
      <c r="BO42" s="77" t="s">
        <v>369</v>
      </c>
      <c r="BP42" s="77">
        <v>1.45</v>
      </c>
      <c r="BQ42" s="79"/>
      <c r="BR42" s="79"/>
      <c r="CD42" t="s">
        <v>892</v>
      </c>
      <c r="CE42" t="s">
        <v>1303</v>
      </c>
      <c r="CF42" t="s">
        <v>1104</v>
      </c>
    </row>
    <row r="43" spans="4:84" x14ac:dyDescent="0.25">
      <c r="D43">
        <v>4</v>
      </c>
      <c r="E43" t="s">
        <v>742</v>
      </c>
      <c r="W43" s="3" t="e">
        <f t="shared" si="2"/>
        <v>#N/A</v>
      </c>
      <c r="X43" s="3" t="e">
        <f t="shared" si="3"/>
        <v>#N/A</v>
      </c>
      <c r="Y43" s="3" t="e">
        <f t="shared" si="4"/>
        <v>#N/A</v>
      </c>
      <c r="Z43" s="3" t="e">
        <f t="shared" si="5"/>
        <v>#N/A</v>
      </c>
      <c r="AF43" t="s">
        <v>138</v>
      </c>
      <c r="AG43" s="3">
        <v>0.3</v>
      </c>
      <c r="AH43" t="s">
        <v>138</v>
      </c>
      <c r="AI43" s="3">
        <v>0.3</v>
      </c>
      <c r="AJ43" t="s">
        <v>138</v>
      </c>
      <c r="AK43" s="3">
        <v>0.3</v>
      </c>
      <c r="AL43" t="s">
        <v>138</v>
      </c>
      <c r="AM43" s="3">
        <v>0.3</v>
      </c>
      <c r="BF43" t="s">
        <v>1497</v>
      </c>
      <c r="BG43" s="7">
        <v>1.8</v>
      </c>
      <c r="BK43" s="74"/>
      <c r="BL43" s="74"/>
      <c r="BM43" s="75" t="s">
        <v>1503</v>
      </c>
      <c r="BN43" s="75">
        <v>1.05</v>
      </c>
      <c r="BO43" s="77" t="s">
        <v>370</v>
      </c>
      <c r="BP43" s="77">
        <v>0.5</v>
      </c>
      <c r="BQ43" s="79"/>
      <c r="BR43" s="79"/>
      <c r="CD43" t="s">
        <v>893</v>
      </c>
      <c r="CE43" t="s">
        <v>1437</v>
      </c>
      <c r="CF43" t="s">
        <v>1105</v>
      </c>
    </row>
    <row r="44" spans="4:84" x14ac:dyDescent="0.25">
      <c r="D44">
        <v>4</v>
      </c>
      <c r="E44" t="s">
        <v>744</v>
      </c>
      <c r="W44" s="3" t="e">
        <f t="shared" si="2"/>
        <v>#N/A</v>
      </c>
      <c r="X44" s="3" t="e">
        <f t="shared" si="3"/>
        <v>#N/A</v>
      </c>
      <c r="Y44" s="3" t="e">
        <f t="shared" si="4"/>
        <v>#N/A</v>
      </c>
      <c r="Z44" s="3" t="e">
        <f t="shared" si="5"/>
        <v>#N/A</v>
      </c>
      <c r="AF44" t="s">
        <v>139</v>
      </c>
      <c r="AG44" s="3">
        <v>0.32500000000000001</v>
      </c>
      <c r="AH44" t="s">
        <v>139</v>
      </c>
      <c r="AI44" s="3">
        <v>0.32500000000000001</v>
      </c>
      <c r="AJ44" t="s">
        <v>139</v>
      </c>
      <c r="AK44" s="3">
        <v>0.32500000000000001</v>
      </c>
      <c r="AL44" t="s">
        <v>139</v>
      </c>
      <c r="AM44" s="3">
        <v>0.32500000000000001</v>
      </c>
      <c r="BF44" t="s">
        <v>1498</v>
      </c>
      <c r="BG44" s="7">
        <v>1.4</v>
      </c>
      <c r="BK44" s="74"/>
      <c r="BL44" s="74"/>
      <c r="BM44" s="75"/>
      <c r="BN44" s="75"/>
      <c r="BO44" s="77" t="s">
        <v>371</v>
      </c>
      <c r="BP44" s="77">
        <v>1.2</v>
      </c>
      <c r="BQ44" s="79"/>
      <c r="BR44" s="79"/>
      <c r="CD44" t="s">
        <v>894</v>
      </c>
      <c r="CE44" t="s">
        <v>1304</v>
      </c>
      <c r="CF44" t="s">
        <v>1106</v>
      </c>
    </row>
    <row r="45" spans="4:84" x14ac:dyDescent="0.25">
      <c r="D45">
        <v>4</v>
      </c>
      <c r="E45" t="s">
        <v>738</v>
      </c>
      <c r="W45" s="3" t="e">
        <f t="shared" si="2"/>
        <v>#N/A</v>
      </c>
      <c r="X45" s="3" t="e">
        <f t="shared" si="3"/>
        <v>#N/A</v>
      </c>
      <c r="Y45" s="3" t="e">
        <f t="shared" si="4"/>
        <v>#N/A</v>
      </c>
      <c r="Z45" s="3" t="e">
        <f t="shared" si="5"/>
        <v>#N/A</v>
      </c>
      <c r="AF45" t="s">
        <v>140</v>
      </c>
      <c r="AG45" s="3">
        <v>0.35</v>
      </c>
      <c r="AH45" t="s">
        <v>140</v>
      </c>
      <c r="AI45" s="3">
        <v>0.35</v>
      </c>
      <c r="AJ45" t="s">
        <v>140</v>
      </c>
      <c r="AK45" s="3">
        <v>0.35</v>
      </c>
      <c r="AL45" t="s">
        <v>140</v>
      </c>
      <c r="AM45" s="3">
        <v>0.35</v>
      </c>
      <c r="BF45" t="s">
        <v>1499</v>
      </c>
      <c r="BG45" s="7">
        <v>2</v>
      </c>
      <c r="BK45" s="74"/>
      <c r="BL45" s="74"/>
      <c r="BM45" s="75"/>
      <c r="BN45" s="75"/>
      <c r="BO45" s="77" t="s">
        <v>372</v>
      </c>
      <c r="BP45" s="77">
        <v>0.8</v>
      </c>
      <c r="BQ45" s="79"/>
      <c r="BR45" s="79"/>
      <c r="CD45" t="s">
        <v>895</v>
      </c>
      <c r="CE45" t="s">
        <v>1305</v>
      </c>
      <c r="CF45" t="s">
        <v>1107</v>
      </c>
    </row>
    <row r="46" spans="4:84" x14ac:dyDescent="0.25">
      <c r="D46">
        <v>4</v>
      </c>
      <c r="E46" t="s">
        <v>766</v>
      </c>
      <c r="W46" s="3" t="e">
        <f t="shared" si="2"/>
        <v>#N/A</v>
      </c>
      <c r="X46" s="3" t="e">
        <f t="shared" si="3"/>
        <v>#N/A</v>
      </c>
      <c r="Y46" s="3" t="e">
        <f t="shared" si="4"/>
        <v>#N/A</v>
      </c>
      <c r="Z46" s="3" t="e">
        <f t="shared" si="5"/>
        <v>#N/A</v>
      </c>
      <c r="AF46" t="s">
        <v>141</v>
      </c>
      <c r="AG46" s="3">
        <v>0.375</v>
      </c>
      <c r="AH46" t="s">
        <v>141</v>
      </c>
      <c r="AI46" s="3">
        <v>0.375</v>
      </c>
      <c r="AJ46" t="s">
        <v>141</v>
      </c>
      <c r="AK46" s="3">
        <v>0.375</v>
      </c>
      <c r="AL46" t="s">
        <v>141</v>
      </c>
      <c r="AM46" s="3">
        <v>0.375</v>
      </c>
      <c r="BF46" t="s">
        <v>1500</v>
      </c>
      <c r="BG46" s="7">
        <v>2.2000000000000002</v>
      </c>
      <c r="BK46" s="74"/>
      <c r="BL46" s="74"/>
      <c r="BM46" s="75"/>
      <c r="BN46" s="75"/>
      <c r="BO46" s="77" t="s">
        <v>373</v>
      </c>
      <c r="BP46" s="77">
        <v>1.6</v>
      </c>
      <c r="BQ46" s="79"/>
      <c r="BR46" s="79"/>
      <c r="CD46" t="s">
        <v>896</v>
      </c>
      <c r="CE46" t="s">
        <v>1306</v>
      </c>
      <c r="CF46" t="s">
        <v>1108</v>
      </c>
    </row>
    <row r="47" spans="4:84" x14ac:dyDescent="0.25">
      <c r="D47">
        <v>4</v>
      </c>
      <c r="E47" t="s">
        <v>740</v>
      </c>
      <c r="W47" s="3" t="e">
        <f t="shared" si="2"/>
        <v>#N/A</v>
      </c>
      <c r="X47" s="3" t="e">
        <f t="shared" si="3"/>
        <v>#N/A</v>
      </c>
      <c r="Y47" s="3" t="e">
        <f t="shared" si="4"/>
        <v>#N/A</v>
      </c>
      <c r="Z47" s="3" t="e">
        <f t="shared" si="5"/>
        <v>#N/A</v>
      </c>
      <c r="AF47" t="s">
        <v>142</v>
      </c>
      <c r="AG47" s="3">
        <v>0.4</v>
      </c>
      <c r="AH47" t="s">
        <v>142</v>
      </c>
      <c r="AI47" s="3">
        <v>0.4</v>
      </c>
      <c r="AJ47" t="s">
        <v>142</v>
      </c>
      <c r="AK47" s="3">
        <v>0.4</v>
      </c>
      <c r="AL47" t="s">
        <v>142</v>
      </c>
      <c r="AM47" s="3">
        <v>0.4</v>
      </c>
      <c r="BF47" t="s">
        <v>1501</v>
      </c>
      <c r="BG47" s="7">
        <v>1.6</v>
      </c>
      <c r="BK47" s="74"/>
      <c r="BL47" s="74"/>
      <c r="BM47" s="75"/>
      <c r="BN47" s="75"/>
      <c r="BO47" s="77" t="s">
        <v>374</v>
      </c>
      <c r="BP47" s="77">
        <v>1.75</v>
      </c>
      <c r="BQ47" s="79"/>
      <c r="BR47" s="79"/>
      <c r="CD47" t="s">
        <v>897</v>
      </c>
      <c r="CE47" t="s">
        <v>1438</v>
      </c>
      <c r="CF47" t="s">
        <v>1109</v>
      </c>
    </row>
    <row r="48" spans="4:84" x14ac:dyDescent="0.25">
      <c r="D48">
        <v>4</v>
      </c>
      <c r="E48" t="s">
        <v>741</v>
      </c>
      <c r="W48" s="3" t="e">
        <f t="shared" si="2"/>
        <v>#N/A</v>
      </c>
      <c r="X48" s="3" t="e">
        <f t="shared" si="3"/>
        <v>#N/A</v>
      </c>
      <c r="Y48" s="3" t="e">
        <f t="shared" si="4"/>
        <v>#N/A</v>
      </c>
      <c r="Z48" s="3" t="e">
        <f t="shared" si="5"/>
        <v>#N/A</v>
      </c>
      <c r="AF48" t="s">
        <v>143</v>
      </c>
      <c r="AG48" s="3">
        <v>4.4999999999999998E-2</v>
      </c>
      <c r="AH48" t="s">
        <v>143</v>
      </c>
      <c r="AI48" s="3">
        <v>4.4999999999999998E-2</v>
      </c>
      <c r="AJ48" t="s">
        <v>143</v>
      </c>
      <c r="AK48" s="3">
        <v>4.4999999999999998E-2</v>
      </c>
      <c r="AL48" t="s">
        <v>143</v>
      </c>
      <c r="AM48" s="3">
        <v>4.4999999999999998E-2</v>
      </c>
      <c r="BF48" t="s">
        <v>1502</v>
      </c>
      <c r="BG48">
        <v>1.4</v>
      </c>
      <c r="BK48" s="74"/>
      <c r="BL48" s="74"/>
      <c r="BM48" s="75"/>
      <c r="BN48" s="75"/>
      <c r="BO48" s="77" t="s">
        <v>375</v>
      </c>
      <c r="BP48" s="77">
        <v>1</v>
      </c>
      <c r="BQ48" s="79"/>
      <c r="BR48" s="79"/>
      <c r="CD48" t="s">
        <v>898</v>
      </c>
      <c r="CE48" t="s">
        <v>1439</v>
      </c>
      <c r="CF48" t="s">
        <v>1110</v>
      </c>
    </row>
    <row r="49" spans="4:84" x14ac:dyDescent="0.25">
      <c r="W49" s="3" t="e">
        <f t="shared" si="2"/>
        <v>#N/A</v>
      </c>
      <c r="X49" s="3" t="e">
        <f t="shared" si="3"/>
        <v>#N/A</v>
      </c>
      <c r="Y49" s="3" t="e">
        <f t="shared" si="4"/>
        <v>#N/A</v>
      </c>
      <c r="Z49" s="3" t="e">
        <f t="shared" si="5"/>
        <v>#N/A</v>
      </c>
      <c r="AF49" t="s">
        <v>144</v>
      </c>
      <c r="AG49" s="3">
        <v>0.105</v>
      </c>
      <c r="AH49" t="s">
        <v>144</v>
      </c>
      <c r="AI49" s="3">
        <v>0.105</v>
      </c>
      <c r="AJ49" t="s">
        <v>144</v>
      </c>
      <c r="AK49" s="3">
        <v>0.105</v>
      </c>
      <c r="AL49" t="s">
        <v>144</v>
      </c>
      <c r="AM49" s="3">
        <v>0.105</v>
      </c>
      <c r="BK49" s="74"/>
      <c r="BL49" s="74"/>
      <c r="BM49" s="75"/>
      <c r="BN49" s="75"/>
      <c r="BO49" s="77" t="s">
        <v>796</v>
      </c>
      <c r="BP49" s="77">
        <v>1.7</v>
      </c>
      <c r="BQ49" s="79"/>
      <c r="BR49" s="79"/>
      <c r="CD49" t="s">
        <v>899</v>
      </c>
      <c r="CE49" t="s">
        <v>1440</v>
      </c>
      <c r="CF49" t="s">
        <v>1111</v>
      </c>
    </row>
    <row r="50" spans="4:84" x14ac:dyDescent="0.25">
      <c r="W50" s="3" t="e">
        <f t="shared" si="2"/>
        <v>#N/A</v>
      </c>
      <c r="X50" s="3" t="e">
        <f t="shared" si="3"/>
        <v>#N/A</v>
      </c>
      <c r="Y50" s="3" t="e">
        <f t="shared" si="4"/>
        <v>#N/A</v>
      </c>
      <c r="Z50" s="3" t="e">
        <f t="shared" si="5"/>
        <v>#N/A</v>
      </c>
      <c r="AF50" t="s">
        <v>145</v>
      </c>
      <c r="AG50" s="3">
        <v>0.13500000000000001</v>
      </c>
      <c r="AH50" t="s">
        <v>145</v>
      </c>
      <c r="AI50" s="3">
        <v>0.13500000000000001</v>
      </c>
      <c r="AJ50" t="s">
        <v>145</v>
      </c>
      <c r="AK50" s="3">
        <v>0.13500000000000001</v>
      </c>
      <c r="AL50" t="s">
        <v>145</v>
      </c>
      <c r="AM50" s="3">
        <v>0.13500000000000001</v>
      </c>
      <c r="BK50" s="74"/>
      <c r="BL50" s="74"/>
      <c r="BM50" s="75"/>
      <c r="BN50" s="75"/>
      <c r="BO50" s="77" t="s">
        <v>797</v>
      </c>
      <c r="BP50" s="77">
        <v>1.7</v>
      </c>
      <c r="BQ50" s="79"/>
      <c r="BR50" s="79"/>
      <c r="CD50" t="s">
        <v>900</v>
      </c>
      <c r="CE50" t="s">
        <v>1307</v>
      </c>
      <c r="CF50" t="s">
        <v>1112</v>
      </c>
    </row>
    <row r="51" spans="4:84" x14ac:dyDescent="0.25">
      <c r="D51">
        <v>5</v>
      </c>
      <c r="E51" t="s">
        <v>28</v>
      </c>
      <c r="W51" s="3" t="e">
        <f t="shared" si="2"/>
        <v>#N/A</v>
      </c>
      <c r="X51" s="3" t="e">
        <f t="shared" si="3"/>
        <v>#N/A</v>
      </c>
      <c r="Y51" s="3" t="e">
        <f t="shared" si="4"/>
        <v>#N/A</v>
      </c>
      <c r="Z51" s="3" t="e">
        <f t="shared" si="5"/>
        <v>#N/A</v>
      </c>
      <c r="AF51" t="s">
        <v>146</v>
      </c>
      <c r="AG51" s="3">
        <v>0.16500000000000001</v>
      </c>
      <c r="AH51" t="s">
        <v>146</v>
      </c>
      <c r="AI51" s="3">
        <v>0.16500000000000001</v>
      </c>
      <c r="AJ51" t="s">
        <v>146</v>
      </c>
      <c r="AK51" s="3">
        <v>0.16500000000000001</v>
      </c>
      <c r="AL51" t="s">
        <v>146</v>
      </c>
      <c r="AM51" s="3">
        <v>0.16500000000000001</v>
      </c>
      <c r="BK51" s="74"/>
      <c r="BL51" s="74"/>
      <c r="BM51" s="75"/>
      <c r="BN51" s="75"/>
      <c r="BO51" s="77" t="s">
        <v>798</v>
      </c>
      <c r="BP51" s="77">
        <v>1.8</v>
      </c>
      <c r="BQ51" s="79"/>
      <c r="BR51" s="79"/>
      <c r="CD51" t="s">
        <v>901</v>
      </c>
      <c r="CE51" t="s">
        <v>1308</v>
      </c>
      <c r="CF51" t="s">
        <v>1113</v>
      </c>
    </row>
    <row r="52" spans="4:84" x14ac:dyDescent="0.25">
      <c r="D52">
        <v>5</v>
      </c>
      <c r="E52" t="s">
        <v>26</v>
      </c>
      <c r="W52" s="3" t="e">
        <f t="shared" si="2"/>
        <v>#N/A</v>
      </c>
      <c r="X52" s="3" t="e">
        <f t="shared" si="3"/>
        <v>#N/A</v>
      </c>
      <c r="Y52" s="3" t="e">
        <f t="shared" si="4"/>
        <v>#N/A</v>
      </c>
      <c r="Z52" s="3" t="e">
        <f t="shared" si="5"/>
        <v>#N/A</v>
      </c>
      <c r="AF52" t="s">
        <v>147</v>
      </c>
      <c r="AG52" s="3">
        <v>0.18</v>
      </c>
      <c r="AH52" t="s">
        <v>147</v>
      </c>
      <c r="AI52" s="3">
        <v>0.18</v>
      </c>
      <c r="AJ52" t="s">
        <v>147</v>
      </c>
      <c r="AK52" s="3">
        <v>0.18</v>
      </c>
      <c r="AL52" t="s">
        <v>147</v>
      </c>
      <c r="AM52" s="3">
        <v>0.18</v>
      </c>
      <c r="BK52" s="74"/>
      <c r="BL52" s="74"/>
      <c r="BM52" s="75"/>
      <c r="BN52" s="75"/>
      <c r="BO52" s="77" t="s">
        <v>802</v>
      </c>
      <c r="BP52" s="77">
        <v>1.5</v>
      </c>
      <c r="BQ52" s="79"/>
      <c r="BR52" s="79"/>
      <c r="CD52" t="s">
        <v>902</v>
      </c>
      <c r="CE52" t="s">
        <v>1309</v>
      </c>
      <c r="CF52" t="s">
        <v>1114</v>
      </c>
    </row>
    <row r="53" spans="4:84" x14ac:dyDescent="0.25">
      <c r="D53">
        <v>5</v>
      </c>
      <c r="E53" t="s">
        <v>745</v>
      </c>
      <c r="W53" s="3" t="e">
        <f t="shared" si="2"/>
        <v>#N/A</v>
      </c>
      <c r="X53" s="3" t="e">
        <f t="shared" si="3"/>
        <v>#N/A</v>
      </c>
      <c r="Y53" s="3" t="e">
        <f t="shared" si="4"/>
        <v>#N/A</v>
      </c>
      <c r="Z53" s="3" t="e">
        <f t="shared" si="5"/>
        <v>#N/A</v>
      </c>
      <c r="AF53" t="s">
        <v>148</v>
      </c>
      <c r="AG53" s="3">
        <v>0.19500000000000001</v>
      </c>
      <c r="AH53" t="s">
        <v>148</v>
      </c>
      <c r="AI53" s="3">
        <v>0.19500000000000001</v>
      </c>
      <c r="AJ53" t="s">
        <v>148</v>
      </c>
      <c r="AK53" s="3">
        <v>0.19500000000000001</v>
      </c>
      <c r="AL53" t="s">
        <v>148</v>
      </c>
      <c r="AM53" s="3">
        <v>0.19500000000000001</v>
      </c>
      <c r="BK53" s="74"/>
      <c r="BL53" s="74"/>
      <c r="BM53" s="75"/>
      <c r="BN53" s="75"/>
      <c r="BO53" s="77" t="s">
        <v>1510</v>
      </c>
      <c r="BP53" s="77">
        <v>2.15</v>
      </c>
      <c r="BQ53" s="79"/>
      <c r="BR53" s="79"/>
      <c r="CD53" t="s">
        <v>903</v>
      </c>
      <c r="CE53" t="s">
        <v>1310</v>
      </c>
      <c r="CF53" t="s">
        <v>1115</v>
      </c>
    </row>
    <row r="54" spans="4:84" x14ac:dyDescent="0.25">
      <c r="D54">
        <v>5</v>
      </c>
      <c r="E54" t="s">
        <v>746</v>
      </c>
      <c r="W54" s="3" t="e">
        <f t="shared" si="2"/>
        <v>#N/A</v>
      </c>
      <c r="X54" s="3" t="e">
        <f t="shared" si="3"/>
        <v>#N/A</v>
      </c>
      <c r="Y54" s="3" t="e">
        <f t="shared" si="4"/>
        <v>#N/A</v>
      </c>
      <c r="Z54" s="3" t="e">
        <f t="shared" si="5"/>
        <v>#N/A</v>
      </c>
      <c r="AF54" t="s">
        <v>149</v>
      </c>
      <c r="AG54" s="3">
        <v>0.21</v>
      </c>
      <c r="AH54" t="s">
        <v>149</v>
      </c>
      <c r="AI54" s="3">
        <v>0.21</v>
      </c>
      <c r="AJ54" t="s">
        <v>149</v>
      </c>
      <c r="AK54" s="3">
        <v>0.21</v>
      </c>
      <c r="AL54" t="s">
        <v>149</v>
      </c>
      <c r="AM54" s="3">
        <v>0.21</v>
      </c>
      <c r="BK54" s="74"/>
      <c r="BL54" s="74"/>
      <c r="BM54" s="75"/>
      <c r="BN54" s="75"/>
      <c r="BO54" s="77" t="s">
        <v>1511</v>
      </c>
      <c r="BP54" s="77">
        <v>1.75</v>
      </c>
      <c r="BQ54" s="79"/>
      <c r="BR54" s="79"/>
      <c r="CD54" t="s">
        <v>904</v>
      </c>
      <c r="CE54" t="s">
        <v>1441</v>
      </c>
      <c r="CF54" t="s">
        <v>1116</v>
      </c>
    </row>
    <row r="55" spans="4:84" x14ac:dyDescent="0.25">
      <c r="D55">
        <v>5</v>
      </c>
      <c r="E55" t="s">
        <v>738</v>
      </c>
      <c r="W55" s="3" t="e">
        <f t="shared" si="2"/>
        <v>#N/A</v>
      </c>
      <c r="X55" s="3" t="e">
        <f t="shared" si="3"/>
        <v>#N/A</v>
      </c>
      <c r="Y55" s="3" t="e">
        <f t="shared" si="4"/>
        <v>#N/A</v>
      </c>
      <c r="Z55" s="3" t="e">
        <f t="shared" si="5"/>
        <v>#N/A</v>
      </c>
      <c r="AF55" t="s">
        <v>150</v>
      </c>
      <c r="AG55" s="3">
        <v>0.22499999999999998</v>
      </c>
      <c r="AH55" t="s">
        <v>150</v>
      </c>
      <c r="AI55" s="3">
        <v>0.22499999999999998</v>
      </c>
      <c r="AJ55" t="s">
        <v>150</v>
      </c>
      <c r="AK55" s="3">
        <v>0.22499999999999998</v>
      </c>
      <c r="AL55" t="s">
        <v>150</v>
      </c>
      <c r="AM55" s="3">
        <v>0.22499999999999998</v>
      </c>
      <c r="BK55" s="74"/>
      <c r="BL55" s="74"/>
      <c r="BM55" s="75"/>
      <c r="BN55" s="75"/>
      <c r="BO55" s="77" t="s">
        <v>1512</v>
      </c>
      <c r="BP55" s="77">
        <v>1.7</v>
      </c>
      <c r="BQ55" s="79"/>
      <c r="BR55" s="79"/>
      <c r="CD55" t="s">
        <v>905</v>
      </c>
      <c r="CE55" t="s">
        <v>1442</v>
      </c>
      <c r="CF55" t="s">
        <v>1117</v>
      </c>
    </row>
    <row r="56" spans="4:84" x14ac:dyDescent="0.25">
      <c r="D56">
        <v>5</v>
      </c>
      <c r="E56" t="s">
        <v>766</v>
      </c>
      <c r="W56" s="3" t="e">
        <f t="shared" si="2"/>
        <v>#N/A</v>
      </c>
      <c r="X56" s="3" t="e">
        <f t="shared" si="3"/>
        <v>#N/A</v>
      </c>
      <c r="Y56" s="3" t="e">
        <f t="shared" si="4"/>
        <v>#N/A</v>
      </c>
      <c r="Z56" s="3" t="e">
        <f t="shared" si="5"/>
        <v>#N/A</v>
      </c>
      <c r="AF56" t="s">
        <v>151</v>
      </c>
      <c r="AG56" s="3">
        <v>0.24</v>
      </c>
      <c r="AH56" t="s">
        <v>151</v>
      </c>
      <c r="AI56" s="3">
        <v>0.24</v>
      </c>
      <c r="AJ56" t="s">
        <v>151</v>
      </c>
      <c r="AK56" s="3">
        <v>0.24</v>
      </c>
      <c r="AL56" t="s">
        <v>151</v>
      </c>
      <c r="AM56" s="3">
        <v>0.24</v>
      </c>
      <c r="BK56" s="74"/>
      <c r="BL56" s="74"/>
      <c r="BM56" s="75"/>
      <c r="BN56" s="75"/>
      <c r="BO56" s="77" t="s">
        <v>1513</v>
      </c>
      <c r="BP56" s="77">
        <v>1.45</v>
      </c>
      <c r="BQ56" s="79"/>
      <c r="BR56" s="79"/>
      <c r="CD56" t="s">
        <v>906</v>
      </c>
      <c r="CE56" t="s">
        <v>1443</v>
      </c>
      <c r="CF56" t="s">
        <v>1118</v>
      </c>
    </row>
    <row r="57" spans="4:84" x14ac:dyDescent="0.25">
      <c r="D57">
        <v>5</v>
      </c>
      <c r="E57" t="s">
        <v>740</v>
      </c>
      <c r="W57" s="3" t="e">
        <f t="shared" si="2"/>
        <v>#N/A</v>
      </c>
      <c r="X57" s="3" t="e">
        <f t="shared" si="3"/>
        <v>#N/A</v>
      </c>
      <c r="Y57" s="3" t="e">
        <f t="shared" si="4"/>
        <v>#N/A</v>
      </c>
      <c r="Z57" s="3" t="e">
        <f t="shared" si="5"/>
        <v>#N/A</v>
      </c>
      <c r="AF57" t="s">
        <v>152</v>
      </c>
      <c r="AG57" s="3">
        <v>0.05</v>
      </c>
      <c r="AH57" t="s">
        <v>152</v>
      </c>
      <c r="AI57" s="3">
        <v>0.05</v>
      </c>
      <c r="AJ57" t="s">
        <v>152</v>
      </c>
      <c r="AK57" s="3">
        <v>0.05</v>
      </c>
      <c r="AL57" t="s">
        <v>152</v>
      </c>
      <c r="AM57" s="3">
        <v>0.05</v>
      </c>
      <c r="BK57" s="74"/>
      <c r="BL57" s="74"/>
      <c r="BM57" s="75"/>
      <c r="BN57" s="75"/>
      <c r="BO57" s="77" t="s">
        <v>1519</v>
      </c>
      <c r="BP57" s="77">
        <v>1.95</v>
      </c>
      <c r="BQ57" s="79"/>
      <c r="BR57" s="79"/>
      <c r="CD57" t="s">
        <v>907</v>
      </c>
      <c r="CE57" t="s">
        <v>1060</v>
      </c>
      <c r="CF57" t="s">
        <v>1119</v>
      </c>
    </row>
    <row r="58" spans="4:84" x14ac:dyDescent="0.25">
      <c r="D58">
        <v>5</v>
      </c>
      <c r="E58" t="s">
        <v>741</v>
      </c>
      <c r="W58" s="3" t="e">
        <f t="shared" si="2"/>
        <v>#N/A</v>
      </c>
      <c r="X58" s="3" t="e">
        <f t="shared" si="3"/>
        <v>#N/A</v>
      </c>
      <c r="Y58" s="3" t="e">
        <f t="shared" si="4"/>
        <v>#N/A</v>
      </c>
      <c r="Z58" s="3" t="e">
        <f t="shared" si="5"/>
        <v>#N/A</v>
      </c>
      <c r="AF58" t="s">
        <v>153</v>
      </c>
      <c r="AG58" s="3">
        <v>0.1</v>
      </c>
      <c r="AH58" t="s">
        <v>153</v>
      </c>
      <c r="AI58" s="3">
        <v>0.1</v>
      </c>
      <c r="AJ58" t="s">
        <v>153</v>
      </c>
      <c r="AK58" s="3">
        <v>0.1</v>
      </c>
      <c r="AL58" t="s">
        <v>153</v>
      </c>
      <c r="AM58" s="3">
        <v>0.1</v>
      </c>
      <c r="BK58" s="74"/>
      <c r="BL58" s="74"/>
      <c r="BM58" s="75"/>
      <c r="BN58" s="75"/>
      <c r="BO58" s="77"/>
      <c r="BP58" s="77"/>
      <c r="BQ58" s="79"/>
      <c r="BR58" s="79"/>
      <c r="CD58" t="s">
        <v>908</v>
      </c>
      <c r="CE58" t="s">
        <v>1311</v>
      </c>
      <c r="CF58" t="s">
        <v>1120</v>
      </c>
    </row>
    <row r="59" spans="4:84" x14ac:dyDescent="0.25">
      <c r="W59" s="3" t="e">
        <f t="shared" si="2"/>
        <v>#N/A</v>
      </c>
      <c r="X59" s="3" t="e">
        <f t="shared" si="3"/>
        <v>#N/A</v>
      </c>
      <c r="Y59" s="3" t="e">
        <f t="shared" si="4"/>
        <v>#N/A</v>
      </c>
      <c r="Z59" s="3" t="e">
        <f t="shared" si="5"/>
        <v>#N/A</v>
      </c>
      <c r="AF59" t="s">
        <v>154</v>
      </c>
      <c r="AG59" s="3">
        <v>0.15</v>
      </c>
      <c r="AH59" t="s">
        <v>154</v>
      </c>
      <c r="AI59" s="3">
        <v>0.15</v>
      </c>
      <c r="AJ59" t="s">
        <v>154</v>
      </c>
      <c r="AK59" s="3">
        <v>0.15</v>
      </c>
      <c r="AL59" t="s">
        <v>154</v>
      </c>
      <c r="AM59" s="3">
        <v>0.15</v>
      </c>
      <c r="BK59" s="74"/>
      <c r="BL59" s="74"/>
      <c r="BM59" s="75"/>
      <c r="BN59" s="75"/>
      <c r="BO59" s="77"/>
      <c r="BP59" s="77"/>
      <c r="BQ59" s="79"/>
      <c r="BR59" s="79"/>
      <c r="CD59" t="s">
        <v>909</v>
      </c>
      <c r="CE59" t="s">
        <v>1312</v>
      </c>
      <c r="CF59" t="s">
        <v>1121</v>
      </c>
    </row>
    <row r="60" spans="4:84" x14ac:dyDescent="0.25">
      <c r="W60" s="3" t="e">
        <f t="shared" si="2"/>
        <v>#N/A</v>
      </c>
      <c r="X60" s="3" t="e">
        <f t="shared" si="3"/>
        <v>#N/A</v>
      </c>
      <c r="Y60" s="3" t="e">
        <f t="shared" si="4"/>
        <v>#N/A</v>
      </c>
      <c r="Z60" s="3" t="e">
        <f t="shared" si="5"/>
        <v>#N/A</v>
      </c>
      <c r="AF60" t="s">
        <v>155</v>
      </c>
      <c r="AG60" s="3">
        <v>0.2</v>
      </c>
      <c r="AH60" t="s">
        <v>155</v>
      </c>
      <c r="AI60" s="3">
        <v>0.2</v>
      </c>
      <c r="AJ60" t="s">
        <v>155</v>
      </c>
      <c r="AK60" s="3">
        <v>0.2</v>
      </c>
      <c r="AL60" t="s">
        <v>155</v>
      </c>
      <c r="AM60" s="3">
        <v>0.2</v>
      </c>
      <c r="BJ60" s="8">
        <v>3</v>
      </c>
      <c r="BK60" s="74" t="s">
        <v>407</v>
      </c>
      <c r="BL60" s="74">
        <v>0.05</v>
      </c>
      <c r="BM60" s="75"/>
      <c r="BN60" s="75"/>
      <c r="BO60" s="77" t="s">
        <v>403</v>
      </c>
      <c r="BP60" s="77">
        <v>0.05</v>
      </c>
      <c r="BQ60" s="79"/>
      <c r="BR60" s="79"/>
      <c r="CD60" t="s">
        <v>910</v>
      </c>
      <c r="CE60" t="s">
        <v>1313</v>
      </c>
      <c r="CF60" t="s">
        <v>1122</v>
      </c>
    </row>
    <row r="61" spans="4:84" x14ac:dyDescent="0.25">
      <c r="D61">
        <v>6</v>
      </c>
      <c r="E61" t="s">
        <v>28</v>
      </c>
      <c r="W61" s="3" t="e">
        <f t="shared" si="2"/>
        <v>#N/A</v>
      </c>
      <c r="X61" s="3" t="e">
        <f t="shared" si="3"/>
        <v>#N/A</v>
      </c>
      <c r="Y61" s="3" t="e">
        <f t="shared" si="4"/>
        <v>#N/A</v>
      </c>
      <c r="Z61" s="3" t="e">
        <f t="shared" si="5"/>
        <v>#N/A</v>
      </c>
      <c r="AF61" t="s">
        <v>156</v>
      </c>
      <c r="AG61" s="3">
        <v>0.25</v>
      </c>
      <c r="AH61" t="s">
        <v>156</v>
      </c>
      <c r="AI61" s="3">
        <v>0.25</v>
      </c>
      <c r="AJ61" t="s">
        <v>156</v>
      </c>
      <c r="AK61" s="3">
        <v>0.25</v>
      </c>
      <c r="AL61" t="s">
        <v>156</v>
      </c>
      <c r="AM61" s="3">
        <v>0.25</v>
      </c>
      <c r="BK61" s="74" t="s">
        <v>403</v>
      </c>
      <c r="BL61" s="74">
        <v>0.05</v>
      </c>
      <c r="BM61" s="75"/>
      <c r="BN61" s="75"/>
      <c r="BO61" s="77" t="s">
        <v>404</v>
      </c>
      <c r="BP61" s="77">
        <v>0.1</v>
      </c>
      <c r="BQ61" s="79"/>
      <c r="BR61" s="79"/>
      <c r="CD61" t="s">
        <v>911</v>
      </c>
      <c r="CE61" t="s">
        <v>1444</v>
      </c>
      <c r="CF61" t="s">
        <v>1123</v>
      </c>
    </row>
    <row r="62" spans="4:84" x14ac:dyDescent="0.25">
      <c r="D62">
        <v>6</v>
      </c>
      <c r="E62" t="s">
        <v>27</v>
      </c>
      <c r="W62" s="3" t="e">
        <f t="shared" si="2"/>
        <v>#N/A</v>
      </c>
      <c r="X62" s="3" t="e">
        <f t="shared" si="3"/>
        <v>#N/A</v>
      </c>
      <c r="Y62" s="3" t="e">
        <f t="shared" si="4"/>
        <v>#N/A</v>
      </c>
      <c r="Z62" s="3" t="e">
        <f t="shared" si="5"/>
        <v>#N/A</v>
      </c>
      <c r="AF62" t="s">
        <v>157</v>
      </c>
      <c r="AG62" s="3">
        <v>0.3</v>
      </c>
      <c r="AH62" t="s">
        <v>157</v>
      </c>
      <c r="AI62" s="3">
        <v>0.3</v>
      </c>
      <c r="AJ62" t="s">
        <v>157</v>
      </c>
      <c r="AK62" s="3">
        <v>0.3</v>
      </c>
      <c r="AL62" t="s">
        <v>157</v>
      </c>
      <c r="AM62" s="3">
        <v>0.3</v>
      </c>
      <c r="BK62" s="74" t="s">
        <v>404</v>
      </c>
      <c r="BL62" s="74">
        <v>0.1</v>
      </c>
      <c r="BM62" s="75"/>
      <c r="BN62" s="75"/>
      <c r="BO62" s="77" t="s">
        <v>405</v>
      </c>
      <c r="BP62" s="77">
        <v>0.15</v>
      </c>
      <c r="BQ62" s="79"/>
      <c r="BR62" s="79"/>
      <c r="CD62" t="s">
        <v>912</v>
      </c>
      <c r="CE62" t="s">
        <v>1314</v>
      </c>
      <c r="CF62" t="s">
        <v>1124</v>
      </c>
    </row>
    <row r="63" spans="4:84" x14ac:dyDescent="0.25">
      <c r="D63">
        <v>6</v>
      </c>
      <c r="E63" t="s">
        <v>26</v>
      </c>
      <c r="W63" s="3" t="e">
        <f t="shared" si="2"/>
        <v>#N/A</v>
      </c>
      <c r="X63" s="3" t="e">
        <f t="shared" si="3"/>
        <v>#N/A</v>
      </c>
      <c r="Y63" s="3" t="e">
        <f t="shared" si="4"/>
        <v>#N/A</v>
      </c>
      <c r="Z63" s="3" t="e">
        <f t="shared" si="5"/>
        <v>#N/A</v>
      </c>
      <c r="AF63" t="s">
        <v>158</v>
      </c>
      <c r="AG63" s="3">
        <v>2.5000000000000001E-2</v>
      </c>
      <c r="AH63" t="s">
        <v>158</v>
      </c>
      <c r="AI63" s="3">
        <v>2.5000000000000001E-2</v>
      </c>
      <c r="AJ63" t="s">
        <v>158</v>
      </c>
      <c r="AK63" s="3">
        <v>2.5000000000000001E-2</v>
      </c>
      <c r="AL63" t="s">
        <v>158</v>
      </c>
      <c r="AM63" s="3">
        <v>2.5000000000000001E-2</v>
      </c>
      <c r="BK63" s="74" t="s">
        <v>405</v>
      </c>
      <c r="BL63" s="74">
        <v>0.15</v>
      </c>
      <c r="BM63" s="75"/>
      <c r="BN63" s="75"/>
      <c r="BO63" s="77" t="s">
        <v>406</v>
      </c>
      <c r="BP63" s="77">
        <v>0.2</v>
      </c>
      <c r="BQ63" s="79"/>
      <c r="BR63" s="79"/>
      <c r="CD63" t="s">
        <v>913</v>
      </c>
      <c r="CE63" t="s">
        <v>1315</v>
      </c>
      <c r="CF63" t="s">
        <v>1125</v>
      </c>
    </row>
    <row r="64" spans="4:84" x14ac:dyDescent="0.25">
      <c r="W64" s="3" t="e">
        <f t="shared" si="2"/>
        <v>#N/A</v>
      </c>
      <c r="X64" s="3" t="e">
        <f t="shared" si="3"/>
        <v>#N/A</v>
      </c>
      <c r="Y64" s="3" t="e">
        <f t="shared" si="4"/>
        <v>#N/A</v>
      </c>
      <c r="Z64" s="3" t="e">
        <f t="shared" si="5"/>
        <v>#N/A</v>
      </c>
      <c r="AF64" t="s">
        <v>159</v>
      </c>
      <c r="AG64" s="3">
        <v>0.05</v>
      </c>
      <c r="AH64" t="s">
        <v>159</v>
      </c>
      <c r="AI64" s="3">
        <v>0.05</v>
      </c>
      <c r="AJ64" t="s">
        <v>159</v>
      </c>
      <c r="AK64" s="3">
        <v>0.05</v>
      </c>
      <c r="AL64" t="s">
        <v>159</v>
      </c>
      <c r="AM64" s="3">
        <v>0.05</v>
      </c>
      <c r="BK64" s="74" t="s">
        <v>406</v>
      </c>
      <c r="BL64" s="74">
        <v>0.2</v>
      </c>
      <c r="BM64" s="75"/>
      <c r="BN64" s="75"/>
      <c r="BO64" s="77" t="s">
        <v>407</v>
      </c>
      <c r="BP64" s="77">
        <v>0.05</v>
      </c>
      <c r="BQ64" s="79"/>
      <c r="BR64" s="79"/>
      <c r="CD64" t="s">
        <v>914</v>
      </c>
      <c r="CE64" t="s">
        <v>1445</v>
      </c>
      <c r="CF64" t="s">
        <v>1126</v>
      </c>
    </row>
    <row r="65" spans="4:84" x14ac:dyDescent="0.25">
      <c r="W65" s="3" t="e">
        <f t="shared" si="2"/>
        <v>#N/A</v>
      </c>
      <c r="X65" s="3" t="e">
        <f t="shared" si="3"/>
        <v>#N/A</v>
      </c>
      <c r="Y65" s="3" t="e">
        <f t="shared" si="4"/>
        <v>#N/A</v>
      </c>
      <c r="Z65" s="3" t="e">
        <f t="shared" si="5"/>
        <v>#N/A</v>
      </c>
      <c r="AF65" t="s">
        <v>160</v>
      </c>
      <c r="AG65" s="3">
        <v>7.4999999999999997E-2</v>
      </c>
      <c r="AH65" t="s">
        <v>160</v>
      </c>
      <c r="AI65" s="3">
        <v>7.4999999999999997E-2</v>
      </c>
      <c r="AJ65" t="s">
        <v>160</v>
      </c>
      <c r="AK65" s="3">
        <v>7.4999999999999997E-2</v>
      </c>
      <c r="AL65" t="s">
        <v>160</v>
      </c>
      <c r="AM65" s="3">
        <v>7.4999999999999997E-2</v>
      </c>
      <c r="BK65" s="74" t="s">
        <v>408</v>
      </c>
      <c r="BL65" s="74">
        <v>0.2</v>
      </c>
      <c r="BM65" s="75"/>
      <c r="BN65" s="75"/>
      <c r="BO65" s="77" t="s">
        <v>408</v>
      </c>
      <c r="BP65" s="77">
        <v>0.2</v>
      </c>
      <c r="BQ65" s="79"/>
      <c r="BR65" s="79"/>
      <c r="CD65" t="s">
        <v>915</v>
      </c>
      <c r="CE65" t="s">
        <v>1446</v>
      </c>
      <c r="CF65" t="s">
        <v>1127</v>
      </c>
    </row>
    <row r="66" spans="4:84" x14ac:dyDescent="0.25">
      <c r="W66" s="3" t="e">
        <f t="shared" si="2"/>
        <v>#N/A</v>
      </c>
      <c r="X66" s="3" t="e">
        <f t="shared" si="3"/>
        <v>#N/A</v>
      </c>
      <c r="Y66" s="3" t="e">
        <f t="shared" si="4"/>
        <v>#N/A</v>
      </c>
      <c r="Z66" s="3" t="e">
        <f t="shared" si="5"/>
        <v>#N/A</v>
      </c>
      <c r="AF66" t="s">
        <v>161</v>
      </c>
      <c r="AG66" s="3">
        <v>0.1</v>
      </c>
      <c r="AH66" t="s">
        <v>161</v>
      </c>
      <c r="AI66" s="3">
        <v>0.1</v>
      </c>
      <c r="AJ66" t="s">
        <v>161</v>
      </c>
      <c r="AK66" s="3">
        <v>0.1</v>
      </c>
      <c r="AL66" t="s">
        <v>161</v>
      </c>
      <c r="AM66" s="3">
        <v>0.1</v>
      </c>
      <c r="BK66" s="74"/>
      <c r="BL66" s="74"/>
      <c r="BM66" s="75"/>
      <c r="BN66" s="75"/>
      <c r="BO66" s="77"/>
      <c r="BP66" s="77"/>
      <c r="BQ66" s="79"/>
      <c r="BR66" s="79"/>
      <c r="CD66" t="s">
        <v>916</v>
      </c>
      <c r="CE66" t="s">
        <v>1316</v>
      </c>
      <c r="CF66" t="s">
        <v>1128</v>
      </c>
    </row>
    <row r="67" spans="4:84" x14ac:dyDescent="0.25">
      <c r="W67" s="3" t="e">
        <f t="shared" si="2"/>
        <v>#N/A</v>
      </c>
      <c r="X67" s="3" t="e">
        <f t="shared" si="3"/>
        <v>#N/A</v>
      </c>
      <c r="Y67" s="3" t="e">
        <f t="shared" si="4"/>
        <v>#N/A</v>
      </c>
      <c r="Z67" s="3" t="e">
        <f t="shared" si="5"/>
        <v>#N/A</v>
      </c>
      <c r="AF67" t="s">
        <v>162</v>
      </c>
      <c r="AG67" s="3">
        <v>0.125</v>
      </c>
      <c r="AH67" t="s">
        <v>162</v>
      </c>
      <c r="AI67" s="3">
        <v>0.125</v>
      </c>
      <c r="AJ67" t="s">
        <v>162</v>
      </c>
      <c r="AK67" s="3">
        <v>0.125</v>
      </c>
      <c r="AL67" t="s">
        <v>162</v>
      </c>
      <c r="AM67" s="3">
        <v>0.125</v>
      </c>
      <c r="BK67" s="74"/>
      <c r="BL67" s="74"/>
      <c r="BM67" s="75"/>
      <c r="BN67" s="75"/>
      <c r="BO67" s="77"/>
      <c r="BP67" s="77"/>
      <c r="BQ67" s="79"/>
      <c r="BR67" s="79"/>
      <c r="CD67" t="s">
        <v>917</v>
      </c>
      <c r="CE67" t="s">
        <v>1317</v>
      </c>
      <c r="CF67" t="s">
        <v>1129</v>
      </c>
    </row>
    <row r="68" spans="4:84" x14ac:dyDescent="0.25">
      <c r="W68" s="3" t="e">
        <f t="shared" si="2"/>
        <v>#N/A</v>
      </c>
      <c r="X68" s="3" t="e">
        <f t="shared" si="3"/>
        <v>#N/A</v>
      </c>
      <c r="Y68" s="3" t="e">
        <f t="shared" si="4"/>
        <v>#N/A</v>
      </c>
      <c r="Z68" s="3" t="e">
        <f t="shared" si="5"/>
        <v>#N/A</v>
      </c>
      <c r="AF68" t="s">
        <v>163</v>
      </c>
      <c r="AG68" s="3">
        <v>0.15</v>
      </c>
      <c r="AH68" t="s">
        <v>163</v>
      </c>
      <c r="AI68" s="3">
        <v>0.15</v>
      </c>
      <c r="AJ68" t="s">
        <v>163</v>
      </c>
      <c r="AK68" s="3">
        <v>0.15</v>
      </c>
      <c r="AL68" t="s">
        <v>163</v>
      </c>
      <c r="AM68" s="3">
        <v>0.15</v>
      </c>
      <c r="BK68" s="74"/>
      <c r="BL68" s="74"/>
      <c r="BM68" s="75"/>
      <c r="BN68" s="75"/>
      <c r="BO68" s="77"/>
      <c r="BP68" s="77"/>
      <c r="BQ68" s="79"/>
      <c r="BR68" s="79"/>
      <c r="CD68" t="s">
        <v>918</v>
      </c>
      <c r="CE68" t="s">
        <v>1318</v>
      </c>
      <c r="CF68" t="s">
        <v>1130</v>
      </c>
    </row>
    <row r="69" spans="4:84" x14ac:dyDescent="0.25">
      <c r="W69" s="3" t="e">
        <f t="shared" ref="W69:W116" si="9">IF($W$1="Solo",IF(AF68="","",AF68),IF($W$1="Duet",IF(AH68="","",AH68),IF($W$1="Mixed",IF(AJ68="","",AJ68),IF(AL68="","",AL68))))</f>
        <v>#N/A</v>
      </c>
      <c r="X69" s="3" t="e">
        <f t="shared" ref="X69:X116" si="10">IF($W$1="Solo",IF(AG68="","",AG68),IF($W$1="Duet",IF(AI68="","",AI68),IF($W$1="Mixed",IF(AK68="","",AK68),IF(AM68="","",AM68))))</f>
        <v>#N/A</v>
      </c>
      <c r="Y69" s="3" t="e">
        <f t="shared" ref="Y69:Y116" si="11">IF($W$1="Solo",IF(AN68="","",AN68),IF($W$1="Duet",IF(AP68="","",AP68),IF($W$1="Mixed",IF(AR68="","",AR68),IF(AT68="","",AT68))))</f>
        <v>#N/A</v>
      </c>
      <c r="Z69" s="3" t="e">
        <f t="shared" ref="Z69:Z116" si="12">IF($W$1="Solo",IF(AO68="","",AO68),IF($W$1="Duet",IF(AQ68="","",AQ68),IF($W$1="Mixed",IF(AS68="","",AS68),IF(AU68="","",AU68))))</f>
        <v>#N/A</v>
      </c>
      <c r="AF69" t="s">
        <v>164</v>
      </c>
      <c r="AG69" s="3">
        <v>1.4999999999999999E-2</v>
      </c>
      <c r="AH69" t="s">
        <v>164</v>
      </c>
      <c r="AI69" s="3">
        <v>1.4999999999999999E-2</v>
      </c>
      <c r="AJ69" t="s">
        <v>164</v>
      </c>
      <c r="AK69" s="3">
        <v>1.4999999999999999E-2</v>
      </c>
      <c r="AL69" t="s">
        <v>164</v>
      </c>
      <c r="AM69" s="3">
        <v>1.4999999999999999E-2</v>
      </c>
      <c r="BK69" s="74"/>
      <c r="BL69" s="74"/>
      <c r="BM69" s="75"/>
      <c r="BN69" s="75"/>
      <c r="BO69" s="77"/>
      <c r="BP69" s="77"/>
      <c r="BQ69" s="79"/>
      <c r="BR69" s="79"/>
      <c r="CD69" t="s">
        <v>919</v>
      </c>
      <c r="CE69" t="s">
        <v>1319</v>
      </c>
      <c r="CF69" t="s">
        <v>1131</v>
      </c>
    </row>
    <row r="70" spans="4:84" x14ac:dyDescent="0.25">
      <c r="W70" s="3" t="e">
        <f t="shared" si="9"/>
        <v>#N/A</v>
      </c>
      <c r="X70" s="3" t="e">
        <f t="shared" si="10"/>
        <v>#N/A</v>
      </c>
      <c r="Y70" s="3" t="e">
        <f t="shared" si="11"/>
        <v>#N/A</v>
      </c>
      <c r="Z70" s="3" t="e">
        <f t="shared" si="12"/>
        <v>#N/A</v>
      </c>
      <c r="AF70" t="s">
        <v>165</v>
      </c>
      <c r="AG70" s="3">
        <v>0.03</v>
      </c>
      <c r="AH70" t="s">
        <v>165</v>
      </c>
      <c r="AI70" s="3">
        <v>0.03</v>
      </c>
      <c r="AJ70" t="s">
        <v>165</v>
      </c>
      <c r="AK70" s="3">
        <v>0.03</v>
      </c>
      <c r="AL70" t="s">
        <v>165</v>
      </c>
      <c r="AM70" s="3">
        <v>0.03</v>
      </c>
      <c r="BJ70" s="8">
        <v>4</v>
      </c>
      <c r="BK70" s="74" t="s">
        <v>592</v>
      </c>
      <c r="BL70" s="74">
        <v>0.05</v>
      </c>
      <c r="BM70" s="75" t="s">
        <v>460</v>
      </c>
      <c r="BN70" s="75">
        <v>1.1000000000000001</v>
      </c>
      <c r="BO70" s="77" t="s">
        <v>458</v>
      </c>
      <c r="BP70" s="77">
        <v>0.05</v>
      </c>
      <c r="BQ70" s="79" t="s">
        <v>409</v>
      </c>
      <c r="BR70" s="79">
        <v>0.05</v>
      </c>
      <c r="BT70" s="77" t="s">
        <v>593</v>
      </c>
      <c r="BU70" s="77">
        <v>0.05</v>
      </c>
      <c r="BW70" s="155">
        <f>LEN(BM70)</f>
        <v>3</v>
      </c>
      <c r="BX70" s="75" t="str">
        <f>CONCATENATE(BW70,BM70)</f>
        <v>3PPx</v>
      </c>
      <c r="BY70" s="75">
        <v>1.1000000000000001</v>
      </c>
      <c r="CD70" t="s">
        <v>920</v>
      </c>
      <c r="CE70" t="s">
        <v>1448</v>
      </c>
      <c r="CF70" t="s">
        <v>1132</v>
      </c>
    </row>
    <row r="71" spans="4:84" x14ac:dyDescent="0.25">
      <c r="D71">
        <v>7</v>
      </c>
      <c r="E71" t="s">
        <v>28</v>
      </c>
      <c r="W71" s="3" t="e">
        <f t="shared" si="9"/>
        <v>#N/A</v>
      </c>
      <c r="X71" s="3" t="e">
        <f t="shared" si="10"/>
        <v>#N/A</v>
      </c>
      <c r="Y71" s="3" t="e">
        <f t="shared" si="11"/>
        <v>#N/A</v>
      </c>
      <c r="Z71" s="3" t="e">
        <f t="shared" si="12"/>
        <v>#N/A</v>
      </c>
      <c r="AF71" t="s">
        <v>166</v>
      </c>
      <c r="AG71" s="3">
        <v>4.4999999999999998E-2</v>
      </c>
      <c r="AH71" t="s">
        <v>166</v>
      </c>
      <c r="AI71" s="3">
        <v>4.4999999999999998E-2</v>
      </c>
      <c r="AJ71" t="s">
        <v>166</v>
      </c>
      <c r="AK71" s="3">
        <v>4.4999999999999998E-2</v>
      </c>
      <c r="AL71" t="s">
        <v>166</v>
      </c>
      <c r="AM71" s="3">
        <v>4.4999999999999998E-2</v>
      </c>
      <c r="BK71" s="74" t="s">
        <v>594</v>
      </c>
      <c r="BL71" s="74">
        <v>0.1</v>
      </c>
      <c r="BM71" s="75" t="s">
        <v>316</v>
      </c>
      <c r="BN71" s="75">
        <v>1</v>
      </c>
      <c r="BO71" s="77" t="s">
        <v>459</v>
      </c>
      <c r="BP71" s="77">
        <v>0.1</v>
      </c>
      <c r="BQ71" s="79" t="s">
        <v>410</v>
      </c>
      <c r="BR71" s="79">
        <v>0.1</v>
      </c>
      <c r="BT71" s="77" t="s">
        <v>595</v>
      </c>
      <c r="BU71" s="77">
        <v>0.1</v>
      </c>
      <c r="BW71" s="155">
        <f t="shared" ref="BW71:BW115" si="13">LEN(BM71)</f>
        <v>2</v>
      </c>
      <c r="BX71" s="75" t="str">
        <f t="shared" ref="BX71:BX115" si="14">CONCATENATE(BW71,BM71)</f>
        <v>2PP</v>
      </c>
      <c r="BY71" s="75">
        <v>1</v>
      </c>
      <c r="CD71" t="s">
        <v>921</v>
      </c>
      <c r="CE71" t="s">
        <v>1447</v>
      </c>
      <c r="CF71" t="s">
        <v>1133</v>
      </c>
    </row>
    <row r="72" spans="4:84" x14ac:dyDescent="0.25">
      <c r="D72">
        <v>7</v>
      </c>
      <c r="E72" t="s">
        <v>27</v>
      </c>
      <c r="W72" s="3" t="e">
        <f t="shared" si="9"/>
        <v>#N/A</v>
      </c>
      <c r="X72" s="3" t="e">
        <f t="shared" si="10"/>
        <v>#N/A</v>
      </c>
      <c r="Y72" s="3" t="e">
        <f t="shared" si="11"/>
        <v>#N/A</v>
      </c>
      <c r="Z72" s="3" t="e">
        <f t="shared" si="12"/>
        <v>#N/A</v>
      </c>
      <c r="AF72" t="s">
        <v>167</v>
      </c>
      <c r="AG72" s="3">
        <v>0.06</v>
      </c>
      <c r="AH72" t="s">
        <v>167</v>
      </c>
      <c r="AI72" s="3">
        <v>0.06</v>
      </c>
      <c r="AJ72" t="s">
        <v>167</v>
      </c>
      <c r="AK72" s="3">
        <v>0.06</v>
      </c>
      <c r="AL72" t="s">
        <v>167</v>
      </c>
      <c r="AM72" s="3">
        <v>0.06</v>
      </c>
      <c r="BK72" s="74" t="s">
        <v>596</v>
      </c>
      <c r="BL72" s="74">
        <v>0.15</v>
      </c>
      <c r="BM72" s="75" t="s">
        <v>461</v>
      </c>
      <c r="BN72" s="75">
        <v>1.05</v>
      </c>
      <c r="BO72" s="77" t="s">
        <v>592</v>
      </c>
      <c r="BP72" s="77">
        <v>0.05</v>
      </c>
      <c r="BQ72" s="79" t="s">
        <v>411</v>
      </c>
      <c r="BR72" s="79">
        <v>0.1</v>
      </c>
      <c r="BT72" s="77" t="s">
        <v>597</v>
      </c>
      <c r="BU72" s="77">
        <v>0.15</v>
      </c>
      <c r="BW72" s="155">
        <f t="shared" si="13"/>
        <v>3</v>
      </c>
      <c r="BX72" s="75" t="str">
        <f t="shared" si="14"/>
        <v>3FPx</v>
      </c>
      <c r="BY72" s="75">
        <v>1.05</v>
      </c>
      <c r="CD72" t="s">
        <v>922</v>
      </c>
      <c r="CE72" t="s">
        <v>1320</v>
      </c>
      <c r="CF72" t="s">
        <v>1134</v>
      </c>
    </row>
    <row r="73" spans="4:84" x14ac:dyDescent="0.25">
      <c r="D73">
        <v>7</v>
      </c>
      <c r="E73" t="s">
        <v>26</v>
      </c>
      <c r="W73" s="3" t="e">
        <f t="shared" si="9"/>
        <v>#N/A</v>
      </c>
      <c r="X73" s="3" t="e">
        <f t="shared" si="10"/>
        <v>#N/A</v>
      </c>
      <c r="Y73" s="3" t="e">
        <f t="shared" si="11"/>
        <v>#N/A</v>
      </c>
      <c r="Z73" s="3" t="e">
        <f t="shared" si="12"/>
        <v>#N/A</v>
      </c>
      <c r="AF73" t="s">
        <v>168</v>
      </c>
      <c r="AG73" s="3">
        <v>7.4999999999999997E-2</v>
      </c>
      <c r="AH73" t="s">
        <v>168</v>
      </c>
      <c r="AI73" s="3">
        <v>7.4999999999999997E-2</v>
      </c>
      <c r="AJ73" t="s">
        <v>168</v>
      </c>
      <c r="AK73" s="3">
        <v>7.4999999999999997E-2</v>
      </c>
      <c r="AL73" t="s">
        <v>168</v>
      </c>
      <c r="AM73" s="3">
        <v>7.4999999999999997E-2</v>
      </c>
      <c r="BK73" s="74" t="s">
        <v>598</v>
      </c>
      <c r="BL73" s="74">
        <v>0.15</v>
      </c>
      <c r="BM73" s="75" t="s">
        <v>462</v>
      </c>
      <c r="BN73" s="75">
        <v>0.95</v>
      </c>
      <c r="BO73" s="77" t="s">
        <v>594</v>
      </c>
      <c r="BP73" s="77">
        <v>0.1</v>
      </c>
      <c r="BQ73" s="79" t="s">
        <v>412</v>
      </c>
      <c r="BR73" s="79">
        <v>0.1</v>
      </c>
      <c r="BT73" s="77" t="s">
        <v>599</v>
      </c>
      <c r="BU73" s="77">
        <v>0.1</v>
      </c>
      <c r="BW73" s="155">
        <f t="shared" si="13"/>
        <v>2</v>
      </c>
      <c r="BX73" s="75" t="str">
        <f t="shared" si="14"/>
        <v>2FP</v>
      </c>
      <c r="BY73" s="75">
        <v>0.95</v>
      </c>
      <c r="CD73" t="s">
        <v>923</v>
      </c>
      <c r="CE73" t="s">
        <v>1321</v>
      </c>
      <c r="CF73" t="s">
        <v>1135</v>
      </c>
    </row>
    <row r="74" spans="4:84" x14ac:dyDescent="0.25">
      <c r="D74">
        <v>7</v>
      </c>
      <c r="E74" t="s">
        <v>19</v>
      </c>
      <c r="W74" s="3" t="e">
        <f t="shared" si="9"/>
        <v>#N/A</v>
      </c>
      <c r="X74" s="3" t="e">
        <f t="shared" si="10"/>
        <v>#N/A</v>
      </c>
      <c r="Y74" s="3" t="e">
        <f t="shared" si="11"/>
        <v>#N/A</v>
      </c>
      <c r="Z74" s="3" t="e">
        <f t="shared" si="12"/>
        <v>#N/A</v>
      </c>
      <c r="AF74" t="s">
        <v>169</v>
      </c>
      <c r="AG74" s="3">
        <v>0.09</v>
      </c>
      <c r="AH74" t="s">
        <v>169</v>
      </c>
      <c r="AI74" s="3">
        <v>0.09</v>
      </c>
      <c r="AJ74" t="s">
        <v>169</v>
      </c>
      <c r="AK74" s="3">
        <v>0.09</v>
      </c>
      <c r="AL74" t="s">
        <v>169</v>
      </c>
      <c r="AM74" s="3">
        <v>0.09</v>
      </c>
      <c r="BK74" s="74" t="s">
        <v>600</v>
      </c>
      <c r="BL74" s="74">
        <v>0.2</v>
      </c>
      <c r="BM74" s="75" t="s">
        <v>463</v>
      </c>
      <c r="BN74" s="75">
        <v>0.7</v>
      </c>
      <c r="BO74" s="77" t="s">
        <v>596</v>
      </c>
      <c r="BP74" s="77">
        <v>0.15</v>
      </c>
      <c r="BQ74" s="79" t="s">
        <v>413</v>
      </c>
      <c r="BR74" s="79">
        <v>0.3</v>
      </c>
      <c r="BT74" s="77" t="s">
        <v>601</v>
      </c>
      <c r="BU74" s="77">
        <v>0.2</v>
      </c>
      <c r="BW74" s="155">
        <f t="shared" si="13"/>
        <v>2</v>
      </c>
      <c r="BX74" s="75" t="str">
        <f t="shared" si="14"/>
        <v>2FF</v>
      </c>
      <c r="BY74" s="75">
        <v>0.7</v>
      </c>
      <c r="CD74" t="s">
        <v>924</v>
      </c>
      <c r="CE74" t="s">
        <v>1322</v>
      </c>
      <c r="CF74" t="s">
        <v>1136</v>
      </c>
    </row>
    <row r="75" spans="4:84" x14ac:dyDescent="0.25">
      <c r="W75" s="3" t="e">
        <f t="shared" si="9"/>
        <v>#N/A</v>
      </c>
      <c r="X75" s="3" t="e">
        <f t="shared" si="10"/>
        <v>#N/A</v>
      </c>
      <c r="Y75" s="3" t="e">
        <f t="shared" si="11"/>
        <v>#N/A</v>
      </c>
      <c r="Z75" s="3" t="e">
        <f t="shared" si="12"/>
        <v>#N/A</v>
      </c>
      <c r="AF75" t="s">
        <v>170</v>
      </c>
      <c r="AG75" s="3">
        <v>0.05</v>
      </c>
      <c r="AH75" t="s">
        <v>170</v>
      </c>
      <c r="AI75" s="3">
        <v>0.05</v>
      </c>
      <c r="AJ75" t="s">
        <v>170</v>
      </c>
      <c r="AK75" s="3">
        <v>0.05</v>
      </c>
      <c r="AL75" t="s">
        <v>170</v>
      </c>
      <c r="AM75" s="3">
        <v>0.05</v>
      </c>
      <c r="BK75" s="74" t="s">
        <v>602</v>
      </c>
      <c r="BL75" s="74">
        <v>0.05</v>
      </c>
      <c r="BM75" s="75" t="s">
        <v>317</v>
      </c>
      <c r="BN75" s="75">
        <v>0.45</v>
      </c>
      <c r="BO75" s="77" t="s">
        <v>598</v>
      </c>
      <c r="BP75" s="77">
        <v>0.15</v>
      </c>
      <c r="BQ75" s="79" t="s">
        <v>414</v>
      </c>
      <c r="BR75" s="79">
        <v>0.1</v>
      </c>
      <c r="BT75" s="77" t="s">
        <v>603</v>
      </c>
      <c r="BU75" s="77">
        <v>0.05</v>
      </c>
      <c r="BW75" s="155">
        <f t="shared" si="13"/>
        <v>2</v>
      </c>
      <c r="BX75" s="75" t="str">
        <f t="shared" si="14"/>
        <v>2PF</v>
      </c>
      <c r="BY75" s="75">
        <v>0.45</v>
      </c>
      <c r="CD75" t="s">
        <v>925</v>
      </c>
      <c r="CE75" t="s">
        <v>1323</v>
      </c>
      <c r="CF75" t="s">
        <v>1137</v>
      </c>
    </row>
    <row r="76" spans="4:84" x14ac:dyDescent="0.25">
      <c r="W76" s="3" t="e">
        <f t="shared" si="9"/>
        <v>#N/A</v>
      </c>
      <c r="X76" s="3" t="e">
        <f t="shared" si="10"/>
        <v>#N/A</v>
      </c>
      <c r="Y76" s="3" t="e">
        <f t="shared" si="11"/>
        <v>#N/A</v>
      </c>
      <c r="Z76" s="3" t="e">
        <f t="shared" si="12"/>
        <v>#N/A</v>
      </c>
      <c r="AF76" t="s">
        <v>171</v>
      </c>
      <c r="AG76" s="3">
        <v>0.15</v>
      </c>
      <c r="AH76" t="s">
        <v>171</v>
      </c>
      <c r="AI76" s="3">
        <v>0.15</v>
      </c>
      <c r="AJ76" t="s">
        <v>171</v>
      </c>
      <c r="AK76" s="3">
        <v>0.15</v>
      </c>
      <c r="AL76" t="s">
        <v>171</v>
      </c>
      <c r="AM76" s="3">
        <v>0.15</v>
      </c>
      <c r="BK76" s="74" t="s">
        <v>1520</v>
      </c>
      <c r="BL76" s="74">
        <v>0.1</v>
      </c>
      <c r="BM76" s="75" t="s">
        <v>464</v>
      </c>
      <c r="BN76" s="75">
        <v>0.5</v>
      </c>
      <c r="BO76" s="77" t="s">
        <v>600</v>
      </c>
      <c r="BP76" s="77">
        <v>0.2</v>
      </c>
      <c r="BQ76" s="79" t="s">
        <v>415</v>
      </c>
      <c r="BR76" s="79">
        <v>0.2</v>
      </c>
      <c r="BT76" s="77" t="s">
        <v>1521</v>
      </c>
      <c r="BU76" s="77">
        <v>0.1</v>
      </c>
      <c r="BW76" s="155">
        <f t="shared" si="13"/>
        <v>4</v>
      </c>
      <c r="BX76" s="75" t="str">
        <f t="shared" si="14"/>
        <v>4SiSb</v>
      </c>
      <c r="BY76" s="75">
        <v>0.5</v>
      </c>
      <c r="CD76" t="s">
        <v>926</v>
      </c>
      <c r="CE76" t="s">
        <v>1324</v>
      </c>
      <c r="CF76" t="s">
        <v>1138</v>
      </c>
    </row>
    <row r="77" spans="4:84" x14ac:dyDescent="0.25">
      <c r="W77" s="3" t="e">
        <f t="shared" si="9"/>
        <v>#N/A</v>
      </c>
      <c r="X77" s="3" t="e">
        <f t="shared" si="10"/>
        <v>#N/A</v>
      </c>
      <c r="Y77" s="3" t="e">
        <f t="shared" si="11"/>
        <v>#N/A</v>
      </c>
      <c r="Z77" s="3" t="e">
        <f t="shared" si="12"/>
        <v>#N/A</v>
      </c>
      <c r="AF77" t="s">
        <v>172</v>
      </c>
      <c r="AG77" s="3">
        <v>0.3</v>
      </c>
      <c r="AH77" t="s">
        <v>172</v>
      </c>
      <c r="AI77" s="3">
        <v>0.3</v>
      </c>
      <c r="AJ77" t="s">
        <v>172</v>
      </c>
      <c r="AK77" s="3">
        <v>0.3</v>
      </c>
      <c r="AL77" t="s">
        <v>172</v>
      </c>
      <c r="AM77" s="3">
        <v>0.3</v>
      </c>
      <c r="BK77" s="74" t="s">
        <v>1522</v>
      </c>
      <c r="BL77" s="74">
        <v>0.1</v>
      </c>
      <c r="BM77" s="75" t="s">
        <v>465</v>
      </c>
      <c r="BN77" s="75">
        <v>0.3</v>
      </c>
      <c r="BO77" s="77" t="s">
        <v>602</v>
      </c>
      <c r="BP77" s="77">
        <v>0.05</v>
      </c>
      <c r="BQ77" s="79" t="s">
        <v>416</v>
      </c>
      <c r="BR77" s="79">
        <v>0.1</v>
      </c>
      <c r="BT77" s="77" t="s">
        <v>1523</v>
      </c>
      <c r="BU77" s="77">
        <v>0.1</v>
      </c>
      <c r="BW77" s="155">
        <f t="shared" si="13"/>
        <v>2</v>
      </c>
      <c r="BX77" s="75" t="str">
        <f t="shared" si="14"/>
        <v>2Bp</v>
      </c>
      <c r="BY77" s="75">
        <v>0.3</v>
      </c>
      <c r="CD77" t="s">
        <v>927</v>
      </c>
      <c r="CE77" t="s">
        <v>1325</v>
      </c>
      <c r="CF77" t="s">
        <v>1139</v>
      </c>
    </row>
    <row r="78" spans="4:84" x14ac:dyDescent="0.25">
      <c r="W78" s="3" t="e">
        <f t="shared" si="9"/>
        <v>#N/A</v>
      </c>
      <c r="X78" s="3" t="e">
        <f t="shared" si="10"/>
        <v>#N/A</v>
      </c>
      <c r="Y78" s="3" t="e">
        <f t="shared" si="11"/>
        <v>#N/A</v>
      </c>
      <c r="Z78" s="3" t="e">
        <f t="shared" si="12"/>
        <v>#N/A</v>
      </c>
      <c r="AF78" t="s">
        <v>173</v>
      </c>
      <c r="AG78" s="3">
        <v>0.45</v>
      </c>
      <c r="AH78" t="s">
        <v>173</v>
      </c>
      <c r="AI78" s="3">
        <v>0.45</v>
      </c>
      <c r="AJ78" t="s">
        <v>173</v>
      </c>
      <c r="AK78" s="3">
        <v>0.45</v>
      </c>
      <c r="AL78" t="s">
        <v>173</v>
      </c>
      <c r="AM78" s="3">
        <v>0.45</v>
      </c>
      <c r="BK78" s="74" t="s">
        <v>604</v>
      </c>
      <c r="BL78" s="74">
        <v>0.3</v>
      </c>
      <c r="BM78" s="75" t="s">
        <v>466</v>
      </c>
      <c r="BN78" s="75">
        <v>0.3</v>
      </c>
      <c r="BO78" s="77" t="s">
        <v>1520</v>
      </c>
      <c r="BP78" s="77">
        <v>0.1</v>
      </c>
      <c r="BQ78" s="79" t="s">
        <v>417</v>
      </c>
      <c r="BR78" s="79">
        <v>0.05</v>
      </c>
      <c r="BT78" s="77" t="s">
        <v>605</v>
      </c>
      <c r="BU78" s="77">
        <v>0.15</v>
      </c>
      <c r="BW78" s="155">
        <f t="shared" si="13"/>
        <v>3</v>
      </c>
      <c r="BX78" s="75" t="str">
        <f t="shared" si="14"/>
        <v>3ShF</v>
      </c>
      <c r="BY78" s="75">
        <v>0.3</v>
      </c>
      <c r="CD78" t="s">
        <v>928</v>
      </c>
      <c r="CE78" t="s">
        <v>1326</v>
      </c>
      <c r="CF78" t="s">
        <v>1140</v>
      </c>
    </row>
    <row r="79" spans="4:84" x14ac:dyDescent="0.25">
      <c r="W79" s="3" t="e">
        <f t="shared" si="9"/>
        <v>#N/A</v>
      </c>
      <c r="X79" s="3" t="e">
        <f t="shared" si="10"/>
        <v>#N/A</v>
      </c>
      <c r="Y79" s="3" t="e">
        <f t="shared" si="11"/>
        <v>#N/A</v>
      </c>
      <c r="Z79" s="3" t="e">
        <f t="shared" si="12"/>
        <v>#N/A</v>
      </c>
      <c r="AF79" t="s">
        <v>174</v>
      </c>
      <c r="AG79" s="3">
        <v>0.5</v>
      </c>
      <c r="AH79" t="s">
        <v>174</v>
      </c>
      <c r="AI79" s="3">
        <v>0.5</v>
      </c>
      <c r="AJ79" t="s">
        <v>174</v>
      </c>
      <c r="AK79" s="3">
        <v>0.5</v>
      </c>
      <c r="AL79" t="s">
        <v>174</v>
      </c>
      <c r="AM79" s="3">
        <v>0.5</v>
      </c>
      <c r="BK79" s="74" t="s">
        <v>606</v>
      </c>
      <c r="BL79" s="74">
        <v>0.1</v>
      </c>
      <c r="BM79" s="75" t="s">
        <v>467</v>
      </c>
      <c r="BN79" s="75">
        <v>0.45</v>
      </c>
      <c r="BO79" s="77" t="s">
        <v>1522</v>
      </c>
      <c r="BP79" s="77">
        <v>0.1</v>
      </c>
      <c r="BQ79" s="79" t="s">
        <v>418</v>
      </c>
      <c r="BR79" s="79">
        <v>0.2</v>
      </c>
      <c r="BT79" s="77" t="s">
        <v>607</v>
      </c>
      <c r="BU79" s="77">
        <v>0.1</v>
      </c>
      <c r="BW79" s="155">
        <f t="shared" si="13"/>
        <v>1</v>
      </c>
      <c r="BX79" s="75" t="str">
        <f t="shared" si="14"/>
        <v>1E</v>
      </c>
      <c r="BY79" s="75">
        <v>0.45</v>
      </c>
      <c r="CD79" t="s">
        <v>929</v>
      </c>
      <c r="CE79" t="s">
        <v>1327</v>
      </c>
      <c r="CF79" t="s">
        <v>1141</v>
      </c>
    </row>
    <row r="80" spans="4:84" x14ac:dyDescent="0.25">
      <c r="W80" s="3" t="e">
        <f t="shared" si="9"/>
        <v>#N/A</v>
      </c>
      <c r="X80" s="3" t="e">
        <f t="shared" si="10"/>
        <v>#N/A</v>
      </c>
      <c r="Y80" s="3" t="e">
        <f t="shared" si="11"/>
        <v>#N/A</v>
      </c>
      <c r="Z80" s="3" t="e">
        <f t="shared" si="12"/>
        <v>#N/A</v>
      </c>
      <c r="AF80" t="s">
        <v>175</v>
      </c>
      <c r="AG80" s="3">
        <v>0.6</v>
      </c>
      <c r="AH80" t="s">
        <v>175</v>
      </c>
      <c r="AI80" s="3">
        <v>0.6</v>
      </c>
      <c r="AJ80" t="s">
        <v>175</v>
      </c>
      <c r="AK80" s="3">
        <v>0.6</v>
      </c>
      <c r="AL80" t="s">
        <v>175</v>
      </c>
      <c r="AM80" s="3">
        <v>0.6</v>
      </c>
      <c r="BK80" s="74" t="s">
        <v>608</v>
      </c>
      <c r="BL80" s="74">
        <v>0.1</v>
      </c>
      <c r="BM80" s="75" t="s">
        <v>468</v>
      </c>
      <c r="BN80" s="75">
        <v>0.5</v>
      </c>
      <c r="BO80" s="77" t="s">
        <v>604</v>
      </c>
      <c r="BP80" s="77">
        <v>0.3</v>
      </c>
      <c r="BQ80" s="79" t="s">
        <v>419</v>
      </c>
      <c r="BR80" s="79">
        <v>0.2</v>
      </c>
      <c r="BT80" s="77" t="s">
        <v>609</v>
      </c>
      <c r="BU80" s="77">
        <v>0.1</v>
      </c>
      <c r="BW80" s="155">
        <f t="shared" si="13"/>
        <v>1</v>
      </c>
      <c r="BX80" s="75" t="str">
        <f t="shared" si="14"/>
        <v>1I</v>
      </c>
      <c r="BY80" s="75">
        <v>0.5</v>
      </c>
      <c r="CD80" t="s">
        <v>930</v>
      </c>
      <c r="CE80" t="s">
        <v>1328</v>
      </c>
      <c r="CF80" t="s">
        <v>1142</v>
      </c>
    </row>
    <row r="81" spans="4:84" x14ac:dyDescent="0.25">
      <c r="D81">
        <v>8</v>
      </c>
      <c r="E81" t="s">
        <v>28</v>
      </c>
      <c r="W81" s="3" t="e">
        <f t="shared" si="9"/>
        <v>#N/A</v>
      </c>
      <c r="X81" s="3" t="e">
        <f t="shared" si="10"/>
        <v>#N/A</v>
      </c>
      <c r="Y81" s="3" t="e">
        <f t="shared" si="11"/>
        <v>#N/A</v>
      </c>
      <c r="Z81" s="3" t="e">
        <f t="shared" si="12"/>
        <v>#N/A</v>
      </c>
      <c r="AF81" t="s">
        <v>176</v>
      </c>
      <c r="AG81" s="3">
        <v>0.65</v>
      </c>
      <c r="AH81" t="s">
        <v>176</v>
      </c>
      <c r="AI81" s="3">
        <v>0.65</v>
      </c>
      <c r="AJ81" t="s">
        <v>176</v>
      </c>
      <c r="AK81" s="3">
        <v>0.65</v>
      </c>
      <c r="AL81" t="s">
        <v>176</v>
      </c>
      <c r="AM81" s="3">
        <v>0.65</v>
      </c>
      <c r="BK81" s="74" t="s">
        <v>610</v>
      </c>
      <c r="BL81" s="74">
        <v>0.15</v>
      </c>
      <c r="BM81" s="75" t="s">
        <v>469</v>
      </c>
      <c r="BN81" s="75">
        <v>0.8</v>
      </c>
      <c r="BO81" s="77" t="s">
        <v>606</v>
      </c>
      <c r="BP81" s="77">
        <v>0.1</v>
      </c>
      <c r="BQ81" s="79" t="s">
        <v>420</v>
      </c>
      <c r="BR81" s="79">
        <v>0.2</v>
      </c>
      <c r="BT81" s="77" t="s">
        <v>611</v>
      </c>
      <c r="BU81" s="77">
        <v>0.1</v>
      </c>
      <c r="BW81" s="155">
        <f t="shared" si="13"/>
        <v>3</v>
      </c>
      <c r="BX81" s="75" t="str">
        <f t="shared" si="14"/>
        <v>3PH/</v>
      </c>
      <c r="BY81" s="75">
        <v>0.8</v>
      </c>
      <c r="CD81" t="s">
        <v>931</v>
      </c>
      <c r="CE81" t="s">
        <v>1449</v>
      </c>
      <c r="CF81" t="s">
        <v>1143</v>
      </c>
    </row>
    <row r="82" spans="4:84" x14ac:dyDescent="0.25">
      <c r="D82">
        <v>8</v>
      </c>
      <c r="E82" t="s">
        <v>27</v>
      </c>
      <c r="W82" s="3" t="e">
        <f t="shared" si="9"/>
        <v>#N/A</v>
      </c>
      <c r="X82" s="3" t="e">
        <f t="shared" si="10"/>
        <v>#N/A</v>
      </c>
      <c r="Y82" s="3" t="e">
        <f t="shared" si="11"/>
        <v>#N/A</v>
      </c>
      <c r="Z82" s="3" t="e">
        <f t="shared" si="12"/>
        <v>#N/A</v>
      </c>
      <c r="AF82" t="s">
        <v>177</v>
      </c>
      <c r="AG82" s="3">
        <v>2.5000000000000001E-2</v>
      </c>
      <c r="AH82" t="s">
        <v>177</v>
      </c>
      <c r="AI82" s="3">
        <v>2.5000000000000001E-2</v>
      </c>
      <c r="AJ82" t="s">
        <v>177</v>
      </c>
      <c r="AK82" s="3">
        <v>2.5000000000000001E-2</v>
      </c>
      <c r="AL82" t="s">
        <v>177</v>
      </c>
      <c r="AM82" s="3">
        <v>2.5000000000000001E-2</v>
      </c>
      <c r="BK82" s="74" t="s">
        <v>612</v>
      </c>
      <c r="BL82" s="74">
        <v>0.2</v>
      </c>
      <c r="BM82" s="75" t="s">
        <v>470</v>
      </c>
      <c r="BN82" s="75">
        <v>0.3</v>
      </c>
      <c r="BO82" s="77" t="s">
        <v>608</v>
      </c>
      <c r="BP82" s="77">
        <v>0.1</v>
      </c>
      <c r="BQ82" s="79" t="s">
        <v>421</v>
      </c>
      <c r="BR82" s="79">
        <v>0.3</v>
      </c>
      <c r="BT82" s="77" t="s">
        <v>613</v>
      </c>
      <c r="BU82" s="77">
        <v>0.15</v>
      </c>
      <c r="BW82" s="155">
        <f t="shared" si="13"/>
        <v>4</v>
      </c>
      <c r="BX82" s="75" t="str">
        <f t="shared" si="14"/>
        <v>4Li4H</v>
      </c>
      <c r="BY82" s="75">
        <v>0.3</v>
      </c>
      <c r="CD82" t="s">
        <v>932</v>
      </c>
      <c r="CE82" t="s">
        <v>1329</v>
      </c>
      <c r="CF82" t="s">
        <v>1144</v>
      </c>
    </row>
    <row r="83" spans="4:84" x14ac:dyDescent="0.25">
      <c r="D83">
        <v>8</v>
      </c>
      <c r="E83" t="s">
        <v>26</v>
      </c>
      <c r="W83" s="3" t="e">
        <f t="shared" si="9"/>
        <v>#N/A</v>
      </c>
      <c r="X83" s="3" t="e">
        <f t="shared" si="10"/>
        <v>#N/A</v>
      </c>
      <c r="Y83" s="3" t="e">
        <f t="shared" si="11"/>
        <v>#N/A</v>
      </c>
      <c r="Z83" s="3" t="e">
        <f t="shared" si="12"/>
        <v>#N/A</v>
      </c>
      <c r="AF83" t="s">
        <v>178</v>
      </c>
      <c r="AG83" s="3">
        <v>7.4999999999999997E-2</v>
      </c>
      <c r="AH83" t="s">
        <v>178</v>
      </c>
      <c r="AI83" s="3">
        <v>7.4999999999999997E-2</v>
      </c>
      <c r="AJ83" t="s">
        <v>178</v>
      </c>
      <c r="AK83" s="3">
        <v>7.4999999999999997E-2</v>
      </c>
      <c r="AL83" t="s">
        <v>178</v>
      </c>
      <c r="AM83" s="3">
        <v>7.4999999999999997E-2</v>
      </c>
      <c r="BK83" s="74" t="s">
        <v>614</v>
      </c>
      <c r="BL83" s="74">
        <v>0.25</v>
      </c>
      <c r="BM83" s="75" t="s">
        <v>471</v>
      </c>
      <c r="BN83" s="75">
        <v>0.4</v>
      </c>
      <c r="BO83" s="77" t="s">
        <v>610</v>
      </c>
      <c r="BP83" s="77">
        <v>0.15</v>
      </c>
      <c r="BQ83" s="79" t="s">
        <v>422</v>
      </c>
      <c r="BR83" s="79">
        <v>0.2</v>
      </c>
      <c r="BT83" s="77" t="s">
        <v>615</v>
      </c>
      <c r="BU83" s="77">
        <v>0.2</v>
      </c>
      <c r="BW83" s="155">
        <f t="shared" si="13"/>
        <v>1</v>
      </c>
      <c r="BX83" s="75" t="str">
        <f t="shared" si="14"/>
        <v>1W</v>
      </c>
      <c r="BY83" s="75">
        <v>0.4</v>
      </c>
      <c r="CD83" t="s">
        <v>933</v>
      </c>
      <c r="CE83" t="s">
        <v>1330</v>
      </c>
      <c r="CF83" t="s">
        <v>1145</v>
      </c>
    </row>
    <row r="84" spans="4:84" x14ac:dyDescent="0.25">
      <c r="D84">
        <v>8</v>
      </c>
      <c r="E84" t="s">
        <v>747</v>
      </c>
      <c r="W84" s="3" t="e">
        <f t="shared" si="9"/>
        <v>#N/A</v>
      </c>
      <c r="X84" s="3" t="e">
        <f t="shared" si="10"/>
        <v>#N/A</v>
      </c>
      <c r="Y84" s="3" t="e">
        <f t="shared" si="11"/>
        <v>#N/A</v>
      </c>
      <c r="Z84" s="3" t="e">
        <f t="shared" si="12"/>
        <v>#N/A</v>
      </c>
      <c r="AF84" t="s">
        <v>179</v>
      </c>
      <c r="AG84" s="3">
        <v>0.15</v>
      </c>
      <c r="AH84" t="s">
        <v>179</v>
      </c>
      <c r="AI84" s="3">
        <v>0.15</v>
      </c>
      <c r="AJ84" t="s">
        <v>179</v>
      </c>
      <c r="AK84" s="3">
        <v>0.15</v>
      </c>
      <c r="AL84" t="s">
        <v>179</v>
      </c>
      <c r="AM84" s="3">
        <v>0.15</v>
      </c>
      <c r="BK84" s="74"/>
      <c r="BL84" s="74"/>
      <c r="BM84" s="75" t="s">
        <v>472</v>
      </c>
      <c r="BN84" s="75">
        <v>0.4</v>
      </c>
      <c r="BO84" s="77" t="s">
        <v>612</v>
      </c>
      <c r="BP84" s="77">
        <v>0.2</v>
      </c>
      <c r="BQ84" s="79" t="s">
        <v>423</v>
      </c>
      <c r="BR84" s="79">
        <v>0.2</v>
      </c>
      <c r="BT84" s="77" t="s">
        <v>762</v>
      </c>
      <c r="BU84" s="77">
        <v>0.05</v>
      </c>
      <c r="BW84" s="155">
        <f t="shared" si="13"/>
        <v>2</v>
      </c>
      <c r="BX84" s="75" t="str">
        <f t="shared" si="14"/>
        <v>2Py</v>
      </c>
      <c r="BY84" s="75">
        <v>0.4</v>
      </c>
      <c r="CD84" t="s">
        <v>934</v>
      </c>
      <c r="CE84" t="s">
        <v>1331</v>
      </c>
      <c r="CF84" t="s">
        <v>1146</v>
      </c>
    </row>
    <row r="85" spans="4:84" x14ac:dyDescent="0.25">
      <c r="D85">
        <v>8</v>
      </c>
      <c r="E85" t="s">
        <v>19</v>
      </c>
      <c r="W85" s="3" t="e">
        <f t="shared" si="9"/>
        <v>#N/A</v>
      </c>
      <c r="X85" s="3" t="e">
        <f t="shared" si="10"/>
        <v>#N/A</v>
      </c>
      <c r="Y85" s="3" t="e">
        <f t="shared" si="11"/>
        <v>#N/A</v>
      </c>
      <c r="Z85" s="3" t="e">
        <f t="shared" si="12"/>
        <v>#N/A</v>
      </c>
      <c r="AF85" t="s">
        <v>180</v>
      </c>
      <c r="AG85" s="3">
        <v>0.22500000000000001</v>
      </c>
      <c r="AH85" t="s">
        <v>180</v>
      </c>
      <c r="AI85" s="3">
        <v>0.22500000000000001</v>
      </c>
      <c r="AJ85" t="s">
        <v>180</v>
      </c>
      <c r="AK85" s="3">
        <v>0.22500000000000001</v>
      </c>
      <c r="AL85" t="s">
        <v>180</v>
      </c>
      <c r="AM85" s="3">
        <v>0.22500000000000001</v>
      </c>
      <c r="BK85" s="74"/>
      <c r="BL85" s="74"/>
      <c r="BM85" s="75" t="s">
        <v>473</v>
      </c>
      <c r="BN85" s="75">
        <v>0.45</v>
      </c>
      <c r="BO85" s="77" t="s">
        <v>614</v>
      </c>
      <c r="BP85" s="77">
        <v>0.25</v>
      </c>
      <c r="BQ85" s="79" t="s">
        <v>424</v>
      </c>
      <c r="BR85" s="79">
        <v>0.1</v>
      </c>
      <c r="BT85" s="77" t="s">
        <v>503</v>
      </c>
      <c r="BU85" s="77">
        <v>0.05</v>
      </c>
      <c r="BW85" s="155">
        <f t="shared" si="13"/>
        <v>2</v>
      </c>
      <c r="BX85" s="75" t="str">
        <f t="shared" si="14"/>
        <v>2AP</v>
      </c>
      <c r="BY85" s="75">
        <v>0.45</v>
      </c>
      <c r="CD85" t="s">
        <v>935</v>
      </c>
      <c r="CE85" t="s">
        <v>1332</v>
      </c>
      <c r="CF85" t="s">
        <v>1147</v>
      </c>
    </row>
    <row r="86" spans="4:84" x14ac:dyDescent="0.25">
      <c r="W86" s="3" t="e">
        <f t="shared" si="9"/>
        <v>#N/A</v>
      </c>
      <c r="X86" s="3" t="e">
        <f t="shared" si="10"/>
        <v>#N/A</v>
      </c>
      <c r="Y86" s="3" t="e">
        <f t="shared" si="11"/>
        <v>#N/A</v>
      </c>
      <c r="Z86" s="3" t="e">
        <f t="shared" si="12"/>
        <v>#N/A</v>
      </c>
      <c r="AF86" t="s">
        <v>181</v>
      </c>
      <c r="AG86" s="3">
        <v>0.25</v>
      </c>
      <c r="AH86" t="s">
        <v>181</v>
      </c>
      <c r="AI86" s="3">
        <v>0.25</v>
      </c>
      <c r="AJ86" t="s">
        <v>181</v>
      </c>
      <c r="AK86" s="3">
        <v>0.25</v>
      </c>
      <c r="AL86" t="s">
        <v>181</v>
      </c>
      <c r="AM86" s="3">
        <v>0.25</v>
      </c>
      <c r="BK86" s="74" t="s">
        <v>593</v>
      </c>
      <c r="BL86" s="74">
        <v>0.05</v>
      </c>
      <c r="BM86" s="75" t="s">
        <v>474</v>
      </c>
      <c r="BN86" s="75">
        <v>0.1</v>
      </c>
      <c r="BO86" s="77" t="s">
        <v>501</v>
      </c>
      <c r="BP86" s="77">
        <v>0.1</v>
      </c>
      <c r="BQ86" s="79" t="s">
        <v>425</v>
      </c>
      <c r="BR86" s="79">
        <v>0.3</v>
      </c>
      <c r="BT86" s="77" t="s">
        <v>505</v>
      </c>
      <c r="BU86" s="77">
        <v>0.1</v>
      </c>
      <c r="BW86" s="155">
        <f t="shared" si="13"/>
        <v>4</v>
      </c>
      <c r="BX86" s="75" t="str">
        <f t="shared" si="14"/>
        <v>4ShF*</v>
      </c>
      <c r="BY86" s="75">
        <v>0.1</v>
      </c>
      <c r="CD86" t="s">
        <v>936</v>
      </c>
      <c r="CE86" t="s">
        <v>1061</v>
      </c>
      <c r="CF86" t="s">
        <v>1148</v>
      </c>
    </row>
    <row r="87" spans="4:84" x14ac:dyDescent="0.25">
      <c r="W87" s="3" t="e">
        <f t="shared" si="9"/>
        <v>#N/A</v>
      </c>
      <c r="X87" s="3" t="e">
        <f t="shared" si="10"/>
        <v>#N/A</v>
      </c>
      <c r="Y87" s="3" t="e">
        <f t="shared" si="11"/>
        <v>#N/A</v>
      </c>
      <c r="Z87" s="3" t="e">
        <f t="shared" si="12"/>
        <v>#N/A</v>
      </c>
      <c r="AF87" t="s">
        <v>182</v>
      </c>
      <c r="AG87" s="3">
        <v>0.3</v>
      </c>
      <c r="AH87" t="s">
        <v>182</v>
      </c>
      <c r="AI87" s="3">
        <v>0.3</v>
      </c>
      <c r="AJ87" t="s">
        <v>182</v>
      </c>
      <c r="AK87" s="3">
        <v>0.3</v>
      </c>
      <c r="AL87" t="s">
        <v>182</v>
      </c>
      <c r="AM87" s="3">
        <v>0.3</v>
      </c>
      <c r="BK87" s="74" t="s">
        <v>595</v>
      </c>
      <c r="BL87" s="74">
        <v>0.1</v>
      </c>
      <c r="BM87" s="75" t="s">
        <v>475</v>
      </c>
      <c r="BN87" s="75">
        <v>0.1</v>
      </c>
      <c r="BO87" s="77" t="s">
        <v>502</v>
      </c>
      <c r="BP87" s="77">
        <v>0.15</v>
      </c>
      <c r="BQ87" s="79" t="s">
        <v>426</v>
      </c>
      <c r="BR87" s="79">
        <v>0.1</v>
      </c>
      <c r="BT87" s="77" t="s">
        <v>508</v>
      </c>
      <c r="BU87" s="77">
        <v>0.2</v>
      </c>
      <c r="BW87" s="155">
        <f t="shared" si="13"/>
        <v>2</v>
      </c>
      <c r="BX87" s="75" t="str">
        <f t="shared" si="14"/>
        <v>2Su</v>
      </c>
      <c r="BY87" s="75">
        <v>0.1</v>
      </c>
      <c r="CD87" t="s">
        <v>937</v>
      </c>
      <c r="CE87" t="s">
        <v>1450</v>
      </c>
      <c r="CF87" t="s">
        <v>1062</v>
      </c>
    </row>
    <row r="88" spans="4:84" x14ac:dyDescent="0.25">
      <c r="W88" s="3" t="e">
        <f t="shared" si="9"/>
        <v>#N/A</v>
      </c>
      <c r="X88" s="3" t="e">
        <f t="shared" si="10"/>
        <v>#N/A</v>
      </c>
      <c r="Y88" s="3" t="e">
        <f t="shared" si="11"/>
        <v>#N/A</v>
      </c>
      <c r="Z88" s="3" t="e">
        <f t="shared" si="12"/>
        <v>#N/A</v>
      </c>
      <c r="AF88" t="s">
        <v>183</v>
      </c>
      <c r="AG88" s="3">
        <v>0.32500000000000001</v>
      </c>
      <c r="AH88" t="s">
        <v>183</v>
      </c>
      <c r="AI88" s="3">
        <v>0.32500000000000001</v>
      </c>
      <c r="AJ88" t="s">
        <v>183</v>
      </c>
      <c r="AK88" s="3">
        <v>0.32500000000000001</v>
      </c>
      <c r="AL88" t="s">
        <v>183</v>
      </c>
      <c r="AM88" s="3">
        <v>0.32500000000000001</v>
      </c>
      <c r="BK88" s="74" t="s">
        <v>597</v>
      </c>
      <c r="BL88" s="74">
        <v>0.15</v>
      </c>
      <c r="BM88" s="75" t="s">
        <v>476</v>
      </c>
      <c r="BN88" s="75">
        <v>0.15</v>
      </c>
      <c r="BO88" s="77" t="s">
        <v>504</v>
      </c>
      <c r="BP88" s="77">
        <v>0.2</v>
      </c>
      <c r="BQ88" s="79" t="s">
        <v>427</v>
      </c>
      <c r="BR88" s="79">
        <v>0.3</v>
      </c>
      <c r="BT88" s="77" t="s">
        <v>509</v>
      </c>
      <c r="BU88" s="77">
        <v>0.3</v>
      </c>
      <c r="BW88" s="155">
        <f t="shared" si="13"/>
        <v>2</v>
      </c>
      <c r="BX88" s="75" t="str">
        <f t="shared" si="14"/>
        <v>2Ta</v>
      </c>
      <c r="BY88" s="75">
        <v>0.15</v>
      </c>
      <c r="CD88" t="s">
        <v>938</v>
      </c>
      <c r="CE88" t="s">
        <v>1333</v>
      </c>
      <c r="CF88" t="s">
        <v>1149</v>
      </c>
    </row>
    <row r="89" spans="4:84" x14ac:dyDescent="0.25">
      <c r="W89" s="3" t="e">
        <f t="shared" si="9"/>
        <v>#N/A</v>
      </c>
      <c r="X89" s="3" t="e">
        <f t="shared" si="10"/>
        <v>#N/A</v>
      </c>
      <c r="Y89" s="3" t="e">
        <f t="shared" si="11"/>
        <v>#N/A</v>
      </c>
      <c r="Z89" s="3" t="e">
        <f t="shared" si="12"/>
        <v>#N/A</v>
      </c>
      <c r="AF89" t="s">
        <v>184</v>
      </c>
      <c r="AG89" s="3">
        <v>1.4999999999999999E-2</v>
      </c>
      <c r="AH89" t="s">
        <v>184</v>
      </c>
      <c r="AI89" s="3">
        <v>1.4999999999999999E-2</v>
      </c>
      <c r="AJ89" t="s">
        <v>184</v>
      </c>
      <c r="AK89" s="3">
        <v>1.4999999999999999E-2</v>
      </c>
      <c r="AL89" t="s">
        <v>184</v>
      </c>
      <c r="AM89" s="3">
        <v>1.4999999999999999E-2</v>
      </c>
      <c r="BK89" s="74" t="s">
        <v>599</v>
      </c>
      <c r="BL89" s="74">
        <v>0.1</v>
      </c>
      <c r="BM89" s="75" t="s">
        <v>477</v>
      </c>
      <c r="BN89" s="75">
        <v>0.1</v>
      </c>
      <c r="BO89" s="77" t="s">
        <v>506</v>
      </c>
      <c r="BP89" s="77">
        <v>0.25</v>
      </c>
      <c r="BQ89" s="79" t="s">
        <v>428</v>
      </c>
      <c r="BR89" s="79">
        <v>0.2</v>
      </c>
      <c r="BT89" s="77" t="s">
        <v>511</v>
      </c>
      <c r="BU89" s="77">
        <v>0.3</v>
      </c>
      <c r="BW89" s="155">
        <f t="shared" si="13"/>
        <v>3</v>
      </c>
      <c r="BX89" s="75" t="str">
        <f t="shared" si="14"/>
        <v>3SiS</v>
      </c>
      <c r="BY89" s="75">
        <v>0.1</v>
      </c>
      <c r="CD89" t="s">
        <v>939</v>
      </c>
      <c r="CE89" t="s">
        <v>1334</v>
      </c>
      <c r="CF89" t="s">
        <v>1150</v>
      </c>
    </row>
    <row r="90" spans="4:84" x14ac:dyDescent="0.25">
      <c r="W90" s="3" t="e">
        <f t="shared" si="9"/>
        <v>#N/A</v>
      </c>
      <c r="X90" s="3" t="e">
        <f t="shared" si="10"/>
        <v>#N/A</v>
      </c>
      <c r="Y90" s="3" t="e">
        <f t="shared" si="11"/>
        <v>#N/A</v>
      </c>
      <c r="Z90" s="3" t="e">
        <f t="shared" si="12"/>
        <v>#N/A</v>
      </c>
      <c r="AF90" t="s">
        <v>185</v>
      </c>
      <c r="AG90" s="3">
        <v>4.4999999999999998E-2</v>
      </c>
      <c r="AH90" t="s">
        <v>185</v>
      </c>
      <c r="AI90" s="3">
        <v>4.4999999999999998E-2</v>
      </c>
      <c r="AJ90" t="s">
        <v>185</v>
      </c>
      <c r="AK90" s="3">
        <v>4.4999999999999998E-2</v>
      </c>
      <c r="AL90" t="s">
        <v>185</v>
      </c>
      <c r="AM90" s="3">
        <v>4.4999999999999998E-2</v>
      </c>
      <c r="BK90" s="74" t="s">
        <v>601</v>
      </c>
      <c r="BL90" s="74">
        <v>0.2</v>
      </c>
      <c r="BM90" s="75" t="s">
        <v>478</v>
      </c>
      <c r="BN90" s="75">
        <v>0.1</v>
      </c>
      <c r="BO90" s="77" t="s">
        <v>507</v>
      </c>
      <c r="BP90" s="77">
        <v>0.45</v>
      </c>
      <c r="BQ90" s="79" t="s">
        <v>429</v>
      </c>
      <c r="BR90" s="79">
        <v>0.3</v>
      </c>
      <c r="BT90" s="77" t="s">
        <v>513</v>
      </c>
      <c r="BU90" s="77">
        <v>0.4</v>
      </c>
      <c r="BW90" s="155">
        <f t="shared" si="13"/>
        <v>3</v>
      </c>
      <c r="BX90" s="75" t="str">
        <f t="shared" si="14"/>
        <v>3F1S</v>
      </c>
      <c r="BY90" s="75">
        <v>0.1</v>
      </c>
      <c r="CD90" t="s">
        <v>940</v>
      </c>
      <c r="CE90" t="s">
        <v>1335</v>
      </c>
      <c r="CF90" t="s">
        <v>1151</v>
      </c>
    </row>
    <row r="91" spans="4:84" x14ac:dyDescent="0.25">
      <c r="D91">
        <v>9</v>
      </c>
      <c r="E91" t="s">
        <v>28</v>
      </c>
      <c r="W91" s="3" t="e">
        <f t="shared" si="9"/>
        <v>#N/A</v>
      </c>
      <c r="X91" s="3" t="e">
        <f t="shared" si="10"/>
        <v>#N/A</v>
      </c>
      <c r="Y91" s="3" t="e">
        <f t="shared" si="11"/>
        <v>#N/A</v>
      </c>
      <c r="Z91" s="3" t="e">
        <f t="shared" si="12"/>
        <v>#N/A</v>
      </c>
      <c r="AF91" t="s">
        <v>186</v>
      </c>
      <c r="AG91" s="3">
        <v>0.09</v>
      </c>
      <c r="AH91" t="s">
        <v>186</v>
      </c>
      <c r="AI91" s="3">
        <v>0.09</v>
      </c>
      <c r="AJ91" t="s">
        <v>186</v>
      </c>
      <c r="AK91" s="3">
        <v>0.09</v>
      </c>
      <c r="AL91" t="s">
        <v>186</v>
      </c>
      <c r="AM91" s="3">
        <v>0.09</v>
      </c>
      <c r="BK91" s="74" t="s">
        <v>603</v>
      </c>
      <c r="BL91" s="74">
        <v>0.05</v>
      </c>
      <c r="BM91" s="75" t="s">
        <v>479</v>
      </c>
      <c r="BN91" s="75">
        <v>0.05</v>
      </c>
      <c r="BO91" s="77" t="s">
        <v>510</v>
      </c>
      <c r="BP91" s="77">
        <v>0.4</v>
      </c>
      <c r="BQ91" s="79" t="s">
        <v>430</v>
      </c>
      <c r="BR91" s="79">
        <v>0.2</v>
      </c>
      <c r="BT91" s="77" t="s">
        <v>515</v>
      </c>
      <c r="BU91" s="77">
        <v>0.1</v>
      </c>
      <c r="BW91" s="155">
        <f t="shared" si="13"/>
        <v>2</v>
      </c>
      <c r="BX91" s="75" t="str">
        <f t="shared" si="14"/>
        <v>2FS</v>
      </c>
      <c r="BY91" s="75">
        <v>0.05</v>
      </c>
      <c r="CD91" t="s">
        <v>941</v>
      </c>
      <c r="CE91" t="s">
        <v>1451</v>
      </c>
      <c r="CF91" t="s">
        <v>1152</v>
      </c>
    </row>
    <row r="92" spans="4:84" x14ac:dyDescent="0.25">
      <c r="D92">
        <v>9</v>
      </c>
      <c r="E92" t="s">
        <v>27</v>
      </c>
      <c r="W92" s="3" t="e">
        <f t="shared" si="9"/>
        <v>#N/A</v>
      </c>
      <c r="X92" s="3" t="e">
        <f t="shared" si="10"/>
        <v>#N/A</v>
      </c>
      <c r="Y92" s="3" t="e">
        <f t="shared" si="11"/>
        <v>#N/A</v>
      </c>
      <c r="Z92" s="3" t="e">
        <f t="shared" si="12"/>
        <v>#N/A</v>
      </c>
      <c r="AF92" t="s">
        <v>187</v>
      </c>
      <c r="AG92" s="3">
        <v>0.13500000000000001</v>
      </c>
      <c r="AH92" t="s">
        <v>187</v>
      </c>
      <c r="AI92" s="3">
        <v>0.13500000000000001</v>
      </c>
      <c r="AJ92" t="s">
        <v>187</v>
      </c>
      <c r="AK92" s="3">
        <v>0.13500000000000001</v>
      </c>
      <c r="AL92" t="s">
        <v>187</v>
      </c>
      <c r="AM92" s="3">
        <v>0.13500000000000001</v>
      </c>
      <c r="BK92" s="74" t="s">
        <v>1521</v>
      </c>
      <c r="BL92" s="74">
        <v>0.1</v>
      </c>
      <c r="BM92" s="75" t="s">
        <v>480</v>
      </c>
      <c r="BN92" s="75">
        <v>0.2</v>
      </c>
      <c r="BO92" s="77" t="s">
        <v>512</v>
      </c>
      <c r="BP92" s="77">
        <v>0.5</v>
      </c>
      <c r="BQ92" s="79" t="s">
        <v>431</v>
      </c>
      <c r="BR92" s="79">
        <v>0.4</v>
      </c>
      <c r="BT92" s="77" t="s">
        <v>517</v>
      </c>
      <c r="BU92" s="77">
        <v>0.25</v>
      </c>
      <c r="BW92" s="155">
        <f t="shared" si="13"/>
        <v>4</v>
      </c>
      <c r="BX92" s="75" t="str">
        <f t="shared" si="14"/>
        <v>4F1S/</v>
      </c>
      <c r="BY92" s="75">
        <v>0.2</v>
      </c>
      <c r="CD92" t="s">
        <v>942</v>
      </c>
      <c r="CE92" t="s">
        <v>1336</v>
      </c>
      <c r="CF92" t="s">
        <v>1153</v>
      </c>
    </row>
    <row r="93" spans="4:84" x14ac:dyDescent="0.25">
      <c r="D93">
        <v>9</v>
      </c>
      <c r="E93" t="s">
        <v>26</v>
      </c>
      <c r="W93" s="3" t="e">
        <f t="shared" si="9"/>
        <v>#N/A</v>
      </c>
      <c r="X93" s="3" t="e">
        <f t="shared" si="10"/>
        <v>#N/A</v>
      </c>
      <c r="Y93" s="3" t="e">
        <f t="shared" si="11"/>
        <v>#N/A</v>
      </c>
      <c r="Z93" s="3" t="e">
        <f t="shared" si="12"/>
        <v>#N/A</v>
      </c>
      <c r="AF93" t="s">
        <v>188</v>
      </c>
      <c r="AG93" s="3">
        <v>0.15</v>
      </c>
      <c r="AH93" t="s">
        <v>188</v>
      </c>
      <c r="AI93" s="3">
        <v>0.15</v>
      </c>
      <c r="AJ93" t="s">
        <v>188</v>
      </c>
      <c r="AK93" s="3">
        <v>0.15</v>
      </c>
      <c r="AL93" t="s">
        <v>188</v>
      </c>
      <c r="AM93" s="3">
        <v>0.15</v>
      </c>
      <c r="BK93" s="74" t="s">
        <v>1523</v>
      </c>
      <c r="BL93" s="74">
        <v>0.1</v>
      </c>
      <c r="BM93" s="75" t="s">
        <v>481</v>
      </c>
      <c r="BN93" s="75">
        <v>0.1</v>
      </c>
      <c r="BO93" s="77" t="s">
        <v>514</v>
      </c>
      <c r="BP93" s="77">
        <v>0.25</v>
      </c>
      <c r="BQ93" s="79" t="s">
        <v>432</v>
      </c>
      <c r="BR93" s="79">
        <v>0.3</v>
      </c>
      <c r="BT93" s="77" t="s">
        <v>519</v>
      </c>
      <c r="BU93" s="77">
        <v>0.3</v>
      </c>
      <c r="BW93" s="155">
        <f t="shared" si="13"/>
        <v>2</v>
      </c>
      <c r="BX93" s="75" t="str">
        <f t="shared" si="14"/>
        <v>2Le</v>
      </c>
      <c r="BY93" s="75">
        <v>0.1</v>
      </c>
      <c r="CD93" t="s">
        <v>943</v>
      </c>
      <c r="CE93" t="s">
        <v>1337</v>
      </c>
      <c r="CF93" t="s">
        <v>1154</v>
      </c>
    </row>
    <row r="94" spans="4:84" x14ac:dyDescent="0.25">
      <c r="D94">
        <v>9</v>
      </c>
      <c r="E94" t="s">
        <v>765</v>
      </c>
      <c r="W94" s="3" t="e">
        <f t="shared" si="9"/>
        <v>#N/A</v>
      </c>
      <c r="X94" s="3" t="e">
        <f t="shared" si="10"/>
        <v>#N/A</v>
      </c>
      <c r="Y94" s="3" t="e">
        <f t="shared" si="11"/>
        <v>#N/A</v>
      </c>
      <c r="Z94" s="3" t="e">
        <f t="shared" si="12"/>
        <v>#N/A</v>
      </c>
      <c r="AF94" t="s">
        <v>189</v>
      </c>
      <c r="AG94" s="3">
        <v>0.18</v>
      </c>
      <c r="AH94" t="s">
        <v>189</v>
      </c>
      <c r="AI94" s="3">
        <v>0.18</v>
      </c>
      <c r="AJ94" t="s">
        <v>189</v>
      </c>
      <c r="AK94" s="3">
        <v>0.18</v>
      </c>
      <c r="AL94" t="s">
        <v>189</v>
      </c>
      <c r="AM94" s="3">
        <v>0.18</v>
      </c>
      <c r="BK94" s="74" t="s">
        <v>605</v>
      </c>
      <c r="BL94" s="74">
        <v>0.15</v>
      </c>
      <c r="BM94" s="75" t="s">
        <v>482</v>
      </c>
      <c r="BN94" s="75">
        <v>0.1</v>
      </c>
      <c r="BO94" s="77" t="s">
        <v>516</v>
      </c>
      <c r="BP94" s="77">
        <v>0.35</v>
      </c>
      <c r="BQ94" s="79" t="s">
        <v>433</v>
      </c>
      <c r="BR94" s="79">
        <v>0.1</v>
      </c>
      <c r="BT94" s="77" t="s">
        <v>521</v>
      </c>
      <c r="BU94" s="77">
        <v>0.45</v>
      </c>
      <c r="BW94" s="155">
        <f t="shared" si="13"/>
        <v>2</v>
      </c>
      <c r="BX94" s="75" t="str">
        <f t="shared" si="14"/>
        <v>2Li</v>
      </c>
      <c r="BY94" s="75">
        <v>0.1</v>
      </c>
      <c r="CD94" t="s">
        <v>944</v>
      </c>
      <c r="CE94" t="s">
        <v>1338</v>
      </c>
      <c r="CF94" t="s">
        <v>1155</v>
      </c>
    </row>
    <row r="95" spans="4:84" x14ac:dyDescent="0.25">
      <c r="D95">
        <v>9</v>
      </c>
      <c r="E95" t="s">
        <v>738</v>
      </c>
      <c r="W95" s="3" t="e">
        <f t="shared" si="9"/>
        <v>#N/A</v>
      </c>
      <c r="X95" s="3" t="e">
        <f t="shared" si="10"/>
        <v>#N/A</v>
      </c>
      <c r="Y95" s="3" t="e">
        <f t="shared" si="11"/>
        <v>#N/A</v>
      </c>
      <c r="Z95" s="3" t="e">
        <f t="shared" si="12"/>
        <v>#N/A</v>
      </c>
      <c r="AF95" t="s">
        <v>190</v>
      </c>
      <c r="AG95" s="3">
        <v>0.19500000000000001</v>
      </c>
      <c r="AH95" t="s">
        <v>190</v>
      </c>
      <c r="AI95" s="3">
        <v>0.19500000000000001</v>
      </c>
      <c r="AJ95" t="s">
        <v>190</v>
      </c>
      <c r="AK95" s="3">
        <v>0.19500000000000001</v>
      </c>
      <c r="AL95" t="s">
        <v>190</v>
      </c>
      <c r="AM95" s="3">
        <v>0.19500000000000001</v>
      </c>
      <c r="BK95" s="74" t="s">
        <v>607</v>
      </c>
      <c r="BL95" s="74">
        <v>0.1</v>
      </c>
      <c r="BM95" s="75" t="s">
        <v>483</v>
      </c>
      <c r="BN95" s="75">
        <v>0.2</v>
      </c>
      <c r="BO95" s="77" t="s">
        <v>518</v>
      </c>
      <c r="BP95" s="77">
        <v>0.45</v>
      </c>
      <c r="BQ95" s="79" t="s">
        <v>434</v>
      </c>
      <c r="BR95" s="79">
        <v>0.3</v>
      </c>
      <c r="BT95" s="77" t="s">
        <v>523</v>
      </c>
      <c r="BU95" s="77">
        <v>0.4</v>
      </c>
      <c r="BW95" s="155">
        <f t="shared" si="13"/>
        <v>2</v>
      </c>
      <c r="BX95" s="75" t="str">
        <f t="shared" si="14"/>
        <v>2Ch</v>
      </c>
      <c r="BY95" s="75">
        <v>0.2</v>
      </c>
      <c r="CD95" t="s">
        <v>945</v>
      </c>
      <c r="CE95" t="s">
        <v>1339</v>
      </c>
      <c r="CF95" t="s">
        <v>1156</v>
      </c>
    </row>
    <row r="96" spans="4:84" x14ac:dyDescent="0.25">
      <c r="D96">
        <v>9</v>
      </c>
      <c r="E96" t="s">
        <v>766</v>
      </c>
      <c r="W96" s="3" t="e">
        <f t="shared" si="9"/>
        <v>#N/A</v>
      </c>
      <c r="X96" s="3" t="e">
        <f t="shared" si="10"/>
        <v>#N/A</v>
      </c>
      <c r="Y96" s="3" t="e">
        <f t="shared" si="11"/>
        <v>#N/A</v>
      </c>
      <c r="Z96" s="3" t="e">
        <f t="shared" si="12"/>
        <v>#N/A</v>
      </c>
      <c r="AG96" s="3"/>
      <c r="AH96" t="s">
        <v>191</v>
      </c>
      <c r="AI96" s="3">
        <v>0.05</v>
      </c>
      <c r="AJ96" t="s">
        <v>191</v>
      </c>
      <c r="AK96" s="3">
        <v>0.05</v>
      </c>
      <c r="AL96" t="s">
        <v>191</v>
      </c>
      <c r="AM96" s="3">
        <v>0.05</v>
      </c>
      <c r="BK96" s="74" t="s">
        <v>609</v>
      </c>
      <c r="BL96" s="74">
        <v>0.1</v>
      </c>
      <c r="BM96" s="75" t="s">
        <v>484</v>
      </c>
      <c r="BN96" s="75">
        <v>0.1</v>
      </c>
      <c r="BO96" s="77" t="s">
        <v>520</v>
      </c>
      <c r="BP96" s="77">
        <v>0.55000000000000004</v>
      </c>
      <c r="BQ96" s="79" t="s">
        <v>435</v>
      </c>
      <c r="BR96" s="79">
        <v>0.4</v>
      </c>
      <c r="BT96" s="77" t="s">
        <v>525</v>
      </c>
      <c r="BU96" s="77">
        <v>0.1</v>
      </c>
      <c r="BW96" s="155">
        <f t="shared" si="13"/>
        <v>2</v>
      </c>
      <c r="BX96" s="75" t="str">
        <f t="shared" si="14"/>
        <v>2Tw</v>
      </c>
      <c r="BY96" s="75">
        <v>0.1</v>
      </c>
      <c r="CD96" t="s">
        <v>946</v>
      </c>
      <c r="CE96" t="s">
        <v>1340</v>
      </c>
      <c r="CF96" t="s">
        <v>1157</v>
      </c>
    </row>
    <row r="97" spans="4:84" x14ac:dyDescent="0.25">
      <c r="D97">
        <v>9</v>
      </c>
      <c r="E97" t="s">
        <v>740</v>
      </c>
      <c r="W97" s="3" t="e">
        <f t="shared" si="9"/>
        <v>#N/A</v>
      </c>
      <c r="X97" s="3" t="e">
        <f t="shared" si="10"/>
        <v>#N/A</v>
      </c>
      <c r="Y97" s="3" t="e">
        <f t="shared" si="11"/>
        <v>#N/A</v>
      </c>
      <c r="Z97" s="3" t="e">
        <f t="shared" si="12"/>
        <v>#N/A</v>
      </c>
      <c r="AG97" s="3"/>
      <c r="AH97" t="s">
        <v>192</v>
      </c>
      <c r="AI97" s="3">
        <v>0.2</v>
      </c>
      <c r="AJ97" t="s">
        <v>192</v>
      </c>
      <c r="AK97" s="3">
        <v>0.2</v>
      </c>
      <c r="AL97" t="s">
        <v>192</v>
      </c>
      <c r="AM97" s="3">
        <v>0.2</v>
      </c>
      <c r="BK97" s="74" t="s">
        <v>611</v>
      </c>
      <c r="BL97" s="74">
        <v>0.1</v>
      </c>
      <c r="BM97" s="75" t="s">
        <v>485</v>
      </c>
      <c r="BN97" s="75">
        <v>0.1</v>
      </c>
      <c r="BO97" s="77" t="s">
        <v>522</v>
      </c>
      <c r="BP97" s="77">
        <v>0.65</v>
      </c>
      <c r="BQ97" s="79" t="s">
        <v>436</v>
      </c>
      <c r="BR97" s="79">
        <v>0.4</v>
      </c>
      <c r="BT97" s="77" t="s">
        <v>527</v>
      </c>
      <c r="BU97" s="77">
        <v>0.1</v>
      </c>
      <c r="BW97" s="155">
        <f t="shared" si="13"/>
        <v>3</v>
      </c>
      <c r="BX97" s="75" t="str">
        <f t="shared" si="14"/>
        <v>3Tw*</v>
      </c>
      <c r="BY97" s="75">
        <v>0.1</v>
      </c>
      <c r="CD97" t="s">
        <v>947</v>
      </c>
      <c r="CE97" t="s">
        <v>1341</v>
      </c>
      <c r="CF97" t="s">
        <v>1158</v>
      </c>
    </row>
    <row r="98" spans="4:84" x14ac:dyDescent="0.25">
      <c r="D98">
        <v>9</v>
      </c>
      <c r="E98" t="s">
        <v>741</v>
      </c>
      <c r="W98" s="3" t="e">
        <f t="shared" si="9"/>
        <v>#N/A</v>
      </c>
      <c r="X98" s="3" t="e">
        <f t="shared" si="10"/>
        <v>#N/A</v>
      </c>
      <c r="Y98" s="3" t="e">
        <f t="shared" si="11"/>
        <v>#N/A</v>
      </c>
      <c r="Z98" s="3" t="e">
        <f t="shared" si="12"/>
        <v>#N/A</v>
      </c>
      <c r="AG98" s="3"/>
      <c r="AH98" t="s">
        <v>193</v>
      </c>
      <c r="AI98" s="3">
        <v>0.35</v>
      </c>
      <c r="AJ98" t="s">
        <v>193</v>
      </c>
      <c r="AK98" s="3">
        <v>0.35</v>
      </c>
      <c r="AL98" t="s">
        <v>193</v>
      </c>
      <c r="AM98" s="3">
        <v>0.35</v>
      </c>
      <c r="BK98" s="74" t="s">
        <v>613</v>
      </c>
      <c r="BL98" s="74">
        <v>0.15</v>
      </c>
      <c r="BM98" s="75" t="s">
        <v>486</v>
      </c>
      <c r="BN98" s="75">
        <v>0.1</v>
      </c>
      <c r="BO98" s="77" t="s">
        <v>524</v>
      </c>
      <c r="BP98" s="77">
        <v>0.1</v>
      </c>
      <c r="BQ98" s="79" t="s">
        <v>437</v>
      </c>
      <c r="BR98" s="79">
        <v>0.3</v>
      </c>
      <c r="BT98" s="77" t="s">
        <v>529</v>
      </c>
      <c r="BU98" s="77">
        <v>0.05</v>
      </c>
      <c r="BW98" s="155">
        <f t="shared" si="13"/>
        <v>2</v>
      </c>
      <c r="BX98" s="75" t="str">
        <f t="shared" si="14"/>
        <v>2AV</v>
      </c>
      <c r="BY98" s="75">
        <v>0.1</v>
      </c>
      <c r="CD98" t="s">
        <v>948</v>
      </c>
      <c r="CE98" t="s">
        <v>1452</v>
      </c>
      <c r="CF98" t="s">
        <v>1159</v>
      </c>
    </row>
    <row r="99" spans="4:84" x14ac:dyDescent="0.25">
      <c r="W99" s="3" t="e">
        <f t="shared" si="9"/>
        <v>#N/A</v>
      </c>
      <c r="X99" s="3" t="e">
        <f t="shared" si="10"/>
        <v>#N/A</v>
      </c>
      <c r="Y99" s="3" t="e">
        <f t="shared" si="11"/>
        <v>#N/A</v>
      </c>
      <c r="Z99" s="3" t="e">
        <f t="shared" si="12"/>
        <v>#N/A</v>
      </c>
      <c r="AG99" s="3"/>
      <c r="AH99" t="s">
        <v>194</v>
      </c>
      <c r="AI99" s="3">
        <v>0.45</v>
      </c>
      <c r="AJ99" t="s">
        <v>194</v>
      </c>
      <c r="AK99" s="3">
        <v>0.45</v>
      </c>
      <c r="AL99" t="s">
        <v>194</v>
      </c>
      <c r="AM99" s="3">
        <v>0.45</v>
      </c>
      <c r="BK99" s="74" t="s">
        <v>615</v>
      </c>
      <c r="BL99" s="74">
        <v>0.2</v>
      </c>
      <c r="BM99" s="75" t="s">
        <v>487</v>
      </c>
      <c r="BN99" s="75">
        <v>0.1</v>
      </c>
      <c r="BO99" s="77" t="s">
        <v>526</v>
      </c>
      <c r="BP99" s="77">
        <v>0.15</v>
      </c>
      <c r="BQ99" s="79" t="s">
        <v>1493</v>
      </c>
      <c r="BR99" s="79">
        <v>0.3</v>
      </c>
      <c r="BT99" s="77" t="s">
        <v>531</v>
      </c>
      <c r="BU99" s="77">
        <v>0.1</v>
      </c>
      <c r="BW99" s="155">
        <f t="shared" si="13"/>
        <v>3</v>
      </c>
      <c r="BX99" s="75" t="str">
        <f t="shared" si="14"/>
        <v>3AF*</v>
      </c>
      <c r="BY99" s="75">
        <v>0.1</v>
      </c>
      <c r="CD99" t="s">
        <v>949</v>
      </c>
      <c r="CE99" t="s">
        <v>1342</v>
      </c>
      <c r="CF99" t="s">
        <v>1160</v>
      </c>
    </row>
    <row r="100" spans="4:84" x14ac:dyDescent="0.25">
      <c r="W100" s="3" t="e">
        <f t="shared" si="9"/>
        <v>#N/A</v>
      </c>
      <c r="X100" s="3" t="e">
        <f t="shared" si="10"/>
        <v>#N/A</v>
      </c>
      <c r="Y100" s="3" t="e">
        <f t="shared" si="11"/>
        <v>#N/A</v>
      </c>
      <c r="Z100" s="3" t="e">
        <f t="shared" si="12"/>
        <v>#N/A</v>
      </c>
      <c r="AG100" s="3"/>
      <c r="AH100" t="s">
        <v>195</v>
      </c>
      <c r="AI100" s="3">
        <v>0.5</v>
      </c>
      <c r="AJ100" t="s">
        <v>195</v>
      </c>
      <c r="AK100" s="3">
        <v>0.5</v>
      </c>
      <c r="AL100" t="s">
        <v>195</v>
      </c>
      <c r="AM100" s="3">
        <v>0.5</v>
      </c>
      <c r="BK100" s="74"/>
      <c r="BL100" s="74"/>
      <c r="BM100" s="75" t="s">
        <v>488</v>
      </c>
      <c r="BN100" s="75">
        <v>0.1</v>
      </c>
      <c r="BO100" s="77" t="s">
        <v>528</v>
      </c>
      <c r="BP100" s="77">
        <v>0.05</v>
      </c>
      <c r="BQ100" s="79" t="s">
        <v>438</v>
      </c>
      <c r="BR100" s="79">
        <v>0.2</v>
      </c>
      <c r="BT100" s="77" t="s">
        <v>533</v>
      </c>
      <c r="BU100" s="77">
        <v>0.2</v>
      </c>
      <c r="BW100" s="155">
        <f t="shared" si="13"/>
        <v>4</v>
      </c>
      <c r="BX100" s="75" t="str">
        <f t="shared" si="14"/>
        <v>4SpSp</v>
      </c>
      <c r="BY100" s="75">
        <v>0.1</v>
      </c>
      <c r="CD100" t="s">
        <v>950</v>
      </c>
      <c r="CE100" t="s">
        <v>1343</v>
      </c>
      <c r="CF100" t="s">
        <v>1161</v>
      </c>
    </row>
    <row r="101" spans="4:84" x14ac:dyDescent="0.25">
      <c r="D101">
        <v>10</v>
      </c>
      <c r="E101" t="s">
        <v>28</v>
      </c>
      <c r="W101" s="3" t="e">
        <f t="shared" si="9"/>
        <v>#N/A</v>
      </c>
      <c r="X101" s="3" t="e">
        <f t="shared" si="10"/>
        <v>#N/A</v>
      </c>
      <c r="Y101" s="3" t="e">
        <f t="shared" si="11"/>
        <v>#N/A</v>
      </c>
      <c r="Z101" s="3" t="e">
        <f t="shared" si="12"/>
        <v>#N/A</v>
      </c>
      <c r="AG101" s="3"/>
      <c r="AH101" t="s">
        <v>196</v>
      </c>
      <c r="AI101" s="3">
        <v>0.55000000000000004</v>
      </c>
      <c r="AJ101" t="s">
        <v>196</v>
      </c>
      <c r="AK101" s="3">
        <v>0.55000000000000004</v>
      </c>
      <c r="AL101" t="s">
        <v>196</v>
      </c>
      <c r="AM101" s="3">
        <v>0.55000000000000004</v>
      </c>
      <c r="BK101" s="74"/>
      <c r="BL101" s="74"/>
      <c r="BM101" s="75" t="s">
        <v>489</v>
      </c>
      <c r="BN101" s="75">
        <v>0.15</v>
      </c>
      <c r="BO101" s="77" t="s">
        <v>530</v>
      </c>
      <c r="BP101" s="77">
        <v>0.1</v>
      </c>
      <c r="BQ101" s="79" t="s">
        <v>439</v>
      </c>
      <c r="BR101" s="79">
        <v>0.2</v>
      </c>
      <c r="BT101" s="77" t="s">
        <v>763</v>
      </c>
      <c r="BU101" s="77">
        <v>0.2</v>
      </c>
      <c r="BW101" s="155">
        <f t="shared" si="13"/>
        <v>3</v>
      </c>
      <c r="BX101" s="75" t="str">
        <f t="shared" si="14"/>
        <v>3SiF</v>
      </c>
      <c r="BY101" s="75">
        <v>0.15</v>
      </c>
      <c r="CD101" t="s">
        <v>951</v>
      </c>
      <c r="CE101" t="s">
        <v>1344</v>
      </c>
      <c r="CF101" t="s">
        <v>1162</v>
      </c>
    </row>
    <row r="102" spans="4:84" x14ac:dyDescent="0.25">
      <c r="D102">
        <v>10</v>
      </c>
      <c r="E102" t="s">
        <v>26</v>
      </c>
      <c r="W102" s="3" t="e">
        <f t="shared" si="9"/>
        <v>#N/A</v>
      </c>
      <c r="X102" s="3" t="e">
        <f t="shared" si="10"/>
        <v>#N/A</v>
      </c>
      <c r="Y102" s="3" t="e">
        <f t="shared" si="11"/>
        <v>#N/A</v>
      </c>
      <c r="Z102" s="3" t="e">
        <f t="shared" si="12"/>
        <v>#N/A</v>
      </c>
      <c r="AG102" s="3"/>
      <c r="AH102" t="s">
        <v>197</v>
      </c>
      <c r="AI102" s="3">
        <v>2.5000000000000001E-2</v>
      </c>
      <c r="AJ102" t="s">
        <v>197</v>
      </c>
      <c r="AK102" s="3">
        <v>2.5000000000000001E-2</v>
      </c>
      <c r="AL102" t="s">
        <v>197</v>
      </c>
      <c r="AM102" s="3">
        <v>2.5000000000000001E-2</v>
      </c>
      <c r="BK102" s="74"/>
      <c r="BL102" s="74"/>
      <c r="BM102" s="75" t="s">
        <v>490</v>
      </c>
      <c r="BN102" s="75">
        <v>0.25</v>
      </c>
      <c r="BO102" s="77" t="s">
        <v>532</v>
      </c>
      <c r="BP102" s="77">
        <v>0.2</v>
      </c>
      <c r="BQ102" s="79" t="s">
        <v>440</v>
      </c>
      <c r="BR102" s="79">
        <v>0.1</v>
      </c>
      <c r="BT102" s="77" t="s">
        <v>536</v>
      </c>
      <c r="BU102" s="77">
        <v>0.1</v>
      </c>
      <c r="BW102" s="155">
        <f t="shared" si="13"/>
        <v>3</v>
      </c>
      <c r="BX102" s="75" t="str">
        <f t="shared" si="14"/>
        <v>3BBb</v>
      </c>
      <c r="BY102" s="75">
        <v>0.25</v>
      </c>
      <c r="CD102" t="s">
        <v>952</v>
      </c>
      <c r="CE102" t="s">
        <v>1345</v>
      </c>
      <c r="CF102" t="s">
        <v>1163</v>
      </c>
    </row>
    <row r="103" spans="4:84" x14ac:dyDescent="0.25">
      <c r="D103">
        <v>10</v>
      </c>
      <c r="E103" t="s">
        <v>738</v>
      </c>
      <c r="W103" s="3" t="e">
        <f t="shared" si="9"/>
        <v>#N/A</v>
      </c>
      <c r="X103" s="3" t="e">
        <f t="shared" si="10"/>
        <v>#N/A</v>
      </c>
      <c r="Y103" s="3" t="e">
        <f t="shared" si="11"/>
        <v>#N/A</v>
      </c>
      <c r="Z103" s="3" t="e">
        <f t="shared" si="12"/>
        <v>#N/A</v>
      </c>
      <c r="AG103" s="3"/>
      <c r="AH103" t="s">
        <v>198</v>
      </c>
      <c r="AI103" s="3">
        <v>0.1</v>
      </c>
      <c r="AJ103" t="s">
        <v>198</v>
      </c>
      <c r="AK103" s="3">
        <v>0.1</v>
      </c>
      <c r="AL103" t="s">
        <v>198</v>
      </c>
      <c r="AM103" s="3">
        <v>0.1</v>
      </c>
      <c r="BK103" s="74"/>
      <c r="BL103" s="74"/>
      <c r="BM103" s="75" t="s">
        <v>491</v>
      </c>
      <c r="BN103" s="75">
        <v>0.1</v>
      </c>
      <c r="BO103" s="77" t="s">
        <v>534</v>
      </c>
      <c r="BP103" s="77">
        <v>0.2</v>
      </c>
      <c r="BQ103" s="79" t="s">
        <v>441</v>
      </c>
      <c r="BR103" s="79">
        <v>0.1</v>
      </c>
      <c r="BT103" s="77" t="s">
        <v>538</v>
      </c>
      <c r="BU103" s="77">
        <v>0.2</v>
      </c>
      <c r="BW103" s="155">
        <f t="shared" si="13"/>
        <v>3</v>
      </c>
      <c r="BX103" s="75" t="str">
        <f t="shared" si="14"/>
        <v>3Li*</v>
      </c>
      <c r="BY103" s="75">
        <v>0.1</v>
      </c>
      <c r="CD103" t="s">
        <v>953</v>
      </c>
      <c r="CE103" t="s">
        <v>1346</v>
      </c>
      <c r="CF103" t="s">
        <v>1164</v>
      </c>
    </row>
    <row r="104" spans="4:84" x14ac:dyDescent="0.25">
      <c r="D104">
        <v>10</v>
      </c>
      <c r="E104" t="s">
        <v>766</v>
      </c>
      <c r="W104" s="3" t="e">
        <f t="shared" si="9"/>
        <v>#N/A</v>
      </c>
      <c r="X104" s="3" t="e">
        <f t="shared" si="10"/>
        <v>#N/A</v>
      </c>
      <c r="Y104" s="3" t="e">
        <f t="shared" si="11"/>
        <v>#N/A</v>
      </c>
      <c r="Z104" s="3" t="e">
        <f t="shared" si="12"/>
        <v>#N/A</v>
      </c>
      <c r="AG104" s="3"/>
      <c r="AH104" t="s">
        <v>199</v>
      </c>
      <c r="AI104" s="3">
        <v>0.17499999999999999</v>
      </c>
      <c r="AJ104" t="s">
        <v>199</v>
      </c>
      <c r="AK104" s="3">
        <v>0.17499999999999999</v>
      </c>
      <c r="AL104" t="s">
        <v>199</v>
      </c>
      <c r="AM104" s="3">
        <v>0.17499999999999999</v>
      </c>
      <c r="BK104" s="74"/>
      <c r="BL104" s="74"/>
      <c r="BM104" s="75" t="s">
        <v>492</v>
      </c>
      <c r="BN104" s="75">
        <v>0.2</v>
      </c>
      <c r="BO104" s="77" t="s">
        <v>535</v>
      </c>
      <c r="BP104" s="77">
        <v>0.2</v>
      </c>
      <c r="BQ104" s="79" t="s">
        <v>442</v>
      </c>
      <c r="BR104" s="79">
        <v>0.1</v>
      </c>
      <c r="BT104" s="77" t="s">
        <v>540</v>
      </c>
      <c r="BU104" s="77">
        <v>0.05</v>
      </c>
      <c r="BW104" s="155">
        <f t="shared" si="13"/>
        <v>3</v>
      </c>
      <c r="BX104" s="75" t="str">
        <f t="shared" si="14"/>
        <v>3SiV</v>
      </c>
      <c r="BY104" s="75">
        <v>0.2</v>
      </c>
      <c r="CD104" t="s">
        <v>954</v>
      </c>
      <c r="CE104" t="s">
        <v>1347</v>
      </c>
      <c r="CF104" t="s">
        <v>1165</v>
      </c>
    </row>
    <row r="105" spans="4:84" x14ac:dyDescent="0.25">
      <c r="D105">
        <v>10</v>
      </c>
      <c r="E105" t="s">
        <v>740</v>
      </c>
      <c r="W105" s="3" t="e">
        <f t="shared" si="9"/>
        <v>#N/A</v>
      </c>
      <c r="X105" s="3" t="e">
        <f t="shared" si="10"/>
        <v>#N/A</v>
      </c>
      <c r="Y105" s="3" t="e">
        <f t="shared" si="11"/>
        <v>#N/A</v>
      </c>
      <c r="Z105" s="3" t="e">
        <f t="shared" si="12"/>
        <v>#N/A</v>
      </c>
      <c r="AG105" s="3"/>
      <c r="AH105" t="s">
        <v>200</v>
      </c>
      <c r="AI105" s="3">
        <v>0.22500000000000001</v>
      </c>
      <c r="AJ105" t="s">
        <v>200</v>
      </c>
      <c r="AK105" s="3">
        <v>0.22500000000000001</v>
      </c>
      <c r="AL105" t="s">
        <v>200</v>
      </c>
      <c r="AM105" s="3">
        <v>0.22500000000000001</v>
      </c>
      <c r="BK105" s="74"/>
      <c r="BL105" s="74"/>
      <c r="BM105" s="75" t="s">
        <v>493</v>
      </c>
      <c r="BN105" s="75">
        <v>0.35</v>
      </c>
      <c r="BO105" s="77" t="s">
        <v>537</v>
      </c>
      <c r="BP105" s="77">
        <v>0.3</v>
      </c>
      <c r="BQ105" s="79" t="s">
        <v>443</v>
      </c>
      <c r="BR105" s="79">
        <v>0.1</v>
      </c>
      <c r="BT105" s="77" t="s">
        <v>542</v>
      </c>
      <c r="BU105" s="77">
        <v>0.05</v>
      </c>
      <c r="BW105" s="155">
        <f t="shared" si="13"/>
        <v>3</v>
      </c>
      <c r="BX105" s="75" t="str">
        <f t="shared" si="14"/>
        <v>3AP/</v>
      </c>
      <c r="BY105" s="75">
        <v>0.35</v>
      </c>
      <c r="CD105" t="s">
        <v>955</v>
      </c>
      <c r="CE105" t="s">
        <v>1348</v>
      </c>
      <c r="CF105" t="s">
        <v>1166</v>
      </c>
    </row>
    <row r="106" spans="4:84" x14ac:dyDescent="0.25">
      <c r="D106">
        <v>10</v>
      </c>
      <c r="E106" t="s">
        <v>741</v>
      </c>
      <c r="W106" s="3" t="e">
        <f t="shared" si="9"/>
        <v>#N/A</v>
      </c>
      <c r="X106" s="3" t="e">
        <f t="shared" si="10"/>
        <v>#N/A</v>
      </c>
      <c r="Y106" s="3" t="e">
        <f t="shared" si="11"/>
        <v>#N/A</v>
      </c>
      <c r="Z106" s="3" t="e">
        <f t="shared" si="12"/>
        <v>#N/A</v>
      </c>
      <c r="AG106" s="3"/>
      <c r="AH106" t="s">
        <v>201</v>
      </c>
      <c r="AI106" s="3">
        <v>0.25</v>
      </c>
      <c r="AJ106" t="s">
        <v>201</v>
      </c>
      <c r="AK106" s="3">
        <v>0.25</v>
      </c>
      <c r="AL106" t="s">
        <v>201</v>
      </c>
      <c r="AM106" s="3">
        <v>0.25</v>
      </c>
      <c r="BK106" s="74"/>
      <c r="BL106" s="74"/>
      <c r="BM106" s="75" t="s">
        <v>494</v>
      </c>
      <c r="BN106" s="75">
        <v>0.3</v>
      </c>
      <c r="BO106" s="77" t="s">
        <v>539</v>
      </c>
      <c r="BP106" s="77">
        <v>0.15</v>
      </c>
      <c r="BQ106" s="79" t="s">
        <v>444</v>
      </c>
      <c r="BR106" s="79">
        <v>0.3</v>
      </c>
      <c r="BT106" s="77" t="s">
        <v>544</v>
      </c>
      <c r="BU106" s="77">
        <v>0.05</v>
      </c>
      <c r="BW106" s="155">
        <f t="shared" si="13"/>
        <v>3</v>
      </c>
      <c r="BX106" s="75" t="str">
        <f t="shared" si="14"/>
        <v>3PH*</v>
      </c>
      <c r="BY106" s="75">
        <v>0.3</v>
      </c>
      <c r="CD106" t="s">
        <v>956</v>
      </c>
      <c r="CE106" t="s">
        <v>1349</v>
      </c>
      <c r="CF106" t="s">
        <v>1167</v>
      </c>
    </row>
    <row r="107" spans="4:84" x14ac:dyDescent="0.25">
      <c r="W107" s="3" t="e">
        <f t="shared" si="9"/>
        <v>#N/A</v>
      </c>
      <c r="X107" s="3" t="e">
        <f t="shared" si="10"/>
        <v>#N/A</v>
      </c>
      <c r="Y107" s="3" t="e">
        <f t="shared" si="11"/>
        <v>#N/A</v>
      </c>
      <c r="Z107" s="3" t="e">
        <f t="shared" si="12"/>
        <v>#N/A</v>
      </c>
      <c r="AG107" s="3"/>
      <c r="AH107" t="s">
        <v>202</v>
      </c>
      <c r="AI107" s="3">
        <v>0.27500000000000002</v>
      </c>
      <c r="AJ107" t="s">
        <v>202</v>
      </c>
      <c r="AK107" s="3">
        <v>0.27500000000000002</v>
      </c>
      <c r="AL107" t="s">
        <v>202</v>
      </c>
      <c r="AM107" s="3">
        <v>0.27500000000000002</v>
      </c>
      <c r="BK107" s="74"/>
      <c r="BL107" s="74"/>
      <c r="BM107" s="75" t="s">
        <v>495</v>
      </c>
      <c r="BN107" s="75">
        <v>0.55000000000000004</v>
      </c>
      <c r="BO107" s="77" t="s">
        <v>541</v>
      </c>
      <c r="BP107" s="77">
        <v>0.15</v>
      </c>
      <c r="BQ107" s="79" t="s">
        <v>445</v>
      </c>
      <c r="BR107" s="79">
        <v>0.05</v>
      </c>
      <c r="BT107" s="77" t="s">
        <v>546</v>
      </c>
      <c r="BU107" s="77">
        <v>0.05</v>
      </c>
      <c r="BW107" s="155">
        <f t="shared" si="13"/>
        <v>4</v>
      </c>
      <c r="BX107" s="75" t="str">
        <f t="shared" si="14"/>
        <v>4FHP/</v>
      </c>
      <c r="BY107" s="75">
        <v>0.55000000000000004</v>
      </c>
      <c r="CD107" t="s">
        <v>957</v>
      </c>
      <c r="CE107" t="s">
        <v>1350</v>
      </c>
      <c r="CF107" t="s">
        <v>1168</v>
      </c>
    </row>
    <row r="108" spans="4:84" x14ac:dyDescent="0.25">
      <c r="W108" s="3" t="e">
        <f t="shared" si="9"/>
        <v>#N/A</v>
      </c>
      <c r="X108" s="3" t="e">
        <f t="shared" si="10"/>
        <v>#N/A</v>
      </c>
      <c r="Y108" s="3" t="e">
        <f t="shared" si="11"/>
        <v>#N/A</v>
      </c>
      <c r="Z108" s="3" t="e">
        <f t="shared" si="12"/>
        <v>#N/A</v>
      </c>
      <c r="AG108" s="3"/>
      <c r="AH108" t="s">
        <v>203</v>
      </c>
      <c r="AI108" s="3">
        <v>1.4999999999999999E-2</v>
      </c>
      <c r="AJ108" t="s">
        <v>203</v>
      </c>
      <c r="AK108" s="3">
        <v>1.4999999999999999E-2</v>
      </c>
      <c r="AL108" t="s">
        <v>203</v>
      </c>
      <c r="AM108" s="3">
        <v>1.4999999999999999E-2</v>
      </c>
      <c r="BK108" s="74"/>
      <c r="BL108" s="74"/>
      <c r="BM108" s="75" t="s">
        <v>496</v>
      </c>
      <c r="BN108" s="75">
        <v>0.5</v>
      </c>
      <c r="BO108" s="77" t="s">
        <v>543</v>
      </c>
      <c r="BP108" s="77">
        <v>0.2</v>
      </c>
      <c r="BQ108" s="79" t="s">
        <v>1492</v>
      </c>
      <c r="BR108" s="79">
        <v>0.1</v>
      </c>
      <c r="BT108" s="77" t="s">
        <v>548</v>
      </c>
      <c r="BU108" s="77">
        <v>0.1</v>
      </c>
      <c r="BW108" s="155">
        <f t="shared" si="13"/>
        <v>3</v>
      </c>
      <c r="BX108" s="75" t="str">
        <f t="shared" si="14"/>
        <v>3FF*</v>
      </c>
      <c r="BY108" s="75">
        <v>0.5</v>
      </c>
      <c r="CD108" t="s">
        <v>958</v>
      </c>
      <c r="CE108" t="s">
        <v>1351</v>
      </c>
      <c r="CF108" t="s">
        <v>1169</v>
      </c>
    </row>
    <row r="109" spans="4:84" x14ac:dyDescent="0.25">
      <c r="W109" s="3" t="e">
        <f t="shared" si="9"/>
        <v>#N/A</v>
      </c>
      <c r="X109" s="3" t="e">
        <f t="shared" si="10"/>
        <v>#N/A</v>
      </c>
      <c r="Y109" s="3" t="e">
        <f t="shared" si="11"/>
        <v>#N/A</v>
      </c>
      <c r="Z109" s="3" t="e">
        <f t="shared" si="12"/>
        <v>#N/A</v>
      </c>
      <c r="AG109" s="3"/>
      <c r="AH109" t="s">
        <v>204</v>
      </c>
      <c r="AI109" s="3">
        <v>0.06</v>
      </c>
      <c r="AJ109" t="s">
        <v>204</v>
      </c>
      <c r="AK109" s="3">
        <v>0.06</v>
      </c>
      <c r="AL109" t="s">
        <v>204</v>
      </c>
      <c r="AM109" s="3">
        <v>0.06</v>
      </c>
      <c r="BK109" s="74"/>
      <c r="BL109" s="74"/>
      <c r="BM109" s="75" t="s">
        <v>497</v>
      </c>
      <c r="BN109" s="75">
        <v>0.1</v>
      </c>
      <c r="BO109" s="77" t="s">
        <v>545</v>
      </c>
      <c r="BP109" s="77">
        <v>0.15</v>
      </c>
      <c r="BQ109" s="79" t="s">
        <v>446</v>
      </c>
      <c r="BR109" s="79">
        <v>0.1</v>
      </c>
      <c r="BT109" s="77" t="s">
        <v>550</v>
      </c>
      <c r="BU109" s="77">
        <v>0.1</v>
      </c>
      <c r="BW109" s="155">
        <f t="shared" si="13"/>
        <v>3</v>
      </c>
      <c r="BX109" s="75" t="str">
        <f t="shared" si="14"/>
        <v>3AL/</v>
      </c>
      <c r="BY109" s="75">
        <v>0.1</v>
      </c>
      <c r="CD109" t="s">
        <v>959</v>
      </c>
      <c r="CE109" t="s">
        <v>1352</v>
      </c>
      <c r="CF109" t="s">
        <v>1170</v>
      </c>
    </row>
    <row r="110" spans="4:84" x14ac:dyDescent="0.25">
      <c r="W110" s="3" t="e">
        <f t="shared" si="9"/>
        <v>#N/A</v>
      </c>
      <c r="X110" s="3" t="e">
        <f t="shared" si="10"/>
        <v>#N/A</v>
      </c>
      <c r="Y110" s="3" t="e">
        <f t="shared" si="11"/>
        <v>#N/A</v>
      </c>
      <c r="Z110" s="3" t="e">
        <f t="shared" si="12"/>
        <v>#N/A</v>
      </c>
      <c r="AG110" s="3"/>
      <c r="AH110" t="s">
        <v>205</v>
      </c>
      <c r="AI110" s="3">
        <v>0.105</v>
      </c>
      <c r="AJ110" t="s">
        <v>205</v>
      </c>
      <c r="AK110" s="3">
        <v>0.105</v>
      </c>
      <c r="AL110" t="s">
        <v>205</v>
      </c>
      <c r="AM110" s="3">
        <v>0.105</v>
      </c>
      <c r="BK110" s="74"/>
      <c r="BL110" s="74"/>
      <c r="BM110" s="75" t="s">
        <v>498</v>
      </c>
      <c r="BN110" s="75">
        <v>0.4</v>
      </c>
      <c r="BO110" s="77" t="s">
        <v>547</v>
      </c>
      <c r="BP110" s="77">
        <v>0.25</v>
      </c>
      <c r="BQ110" s="79" t="s">
        <v>447</v>
      </c>
      <c r="BR110" s="79">
        <v>0.1</v>
      </c>
      <c r="BT110" s="77" t="s">
        <v>552</v>
      </c>
      <c r="BU110" s="77">
        <v>0.1</v>
      </c>
      <c r="BW110" s="155">
        <f t="shared" si="13"/>
        <v>3</v>
      </c>
      <c r="BX110" s="75" t="str">
        <f t="shared" si="14"/>
        <v>3FP*</v>
      </c>
      <c r="BY110" s="75">
        <v>0.4</v>
      </c>
      <c r="CD110" t="s">
        <v>960</v>
      </c>
      <c r="CE110" t="s">
        <v>1453</v>
      </c>
      <c r="CF110" t="s">
        <v>1171</v>
      </c>
    </row>
    <row r="111" spans="4:84" x14ac:dyDescent="0.25">
      <c r="D111">
        <v>11</v>
      </c>
      <c r="W111" s="3" t="e">
        <f t="shared" si="9"/>
        <v>#N/A</v>
      </c>
      <c r="X111" s="3" t="e">
        <f t="shared" si="10"/>
        <v>#N/A</v>
      </c>
      <c r="Y111" s="3" t="e">
        <f t="shared" si="11"/>
        <v>#N/A</v>
      </c>
      <c r="Z111" s="3" t="e">
        <f t="shared" si="12"/>
        <v>#N/A</v>
      </c>
      <c r="AG111" s="3"/>
      <c r="AH111" t="s">
        <v>206</v>
      </c>
      <c r="AI111" s="3">
        <v>0.13500000000000001</v>
      </c>
      <c r="AJ111" t="s">
        <v>206</v>
      </c>
      <c r="AK111" s="3">
        <v>0.13500000000000001</v>
      </c>
      <c r="AL111" t="s">
        <v>206</v>
      </c>
      <c r="AM111" s="3">
        <v>0.13500000000000001</v>
      </c>
      <c r="BK111" s="74"/>
      <c r="BL111" s="74"/>
      <c r="BM111" s="75" t="s">
        <v>499</v>
      </c>
      <c r="BN111" s="75">
        <v>0.1</v>
      </c>
      <c r="BO111" s="77" t="s">
        <v>549</v>
      </c>
      <c r="BP111" s="77">
        <v>0.25</v>
      </c>
      <c r="BQ111" s="79" t="s">
        <v>448</v>
      </c>
      <c r="BR111" s="79">
        <v>0.3</v>
      </c>
      <c r="BT111" s="77" t="s">
        <v>554</v>
      </c>
      <c r="BU111" s="77">
        <v>0.05</v>
      </c>
      <c r="BW111" s="155">
        <f t="shared" si="13"/>
        <v>4</v>
      </c>
      <c r="BX111" s="75" t="str">
        <f t="shared" si="14"/>
        <v>4SiF*</v>
      </c>
      <c r="BY111" s="75">
        <v>0.1</v>
      </c>
      <c r="CD111" t="s">
        <v>961</v>
      </c>
      <c r="CE111" t="s">
        <v>1353</v>
      </c>
      <c r="CF111" t="s">
        <v>1172</v>
      </c>
    </row>
    <row r="112" spans="4:84" x14ac:dyDescent="0.25">
      <c r="D112">
        <v>11</v>
      </c>
      <c r="W112" s="3" t="e">
        <f t="shared" si="9"/>
        <v>#N/A</v>
      </c>
      <c r="X112" s="3" t="e">
        <f t="shared" si="10"/>
        <v>#N/A</v>
      </c>
      <c r="Y112" s="3" t="e">
        <f t="shared" si="11"/>
        <v>#N/A</v>
      </c>
      <c r="Z112" s="3" t="e">
        <f t="shared" si="12"/>
        <v>#N/A</v>
      </c>
      <c r="AG112" s="3"/>
      <c r="AH112" t="s">
        <v>207</v>
      </c>
      <c r="AI112" s="3">
        <v>0.15</v>
      </c>
      <c r="AJ112" t="s">
        <v>207</v>
      </c>
      <c r="AK112" s="3">
        <v>0.15</v>
      </c>
      <c r="AL112" t="s">
        <v>207</v>
      </c>
      <c r="AM112" s="3">
        <v>0.15</v>
      </c>
      <c r="BK112" s="74"/>
      <c r="BL112" s="74"/>
      <c r="BM112" s="75" t="s">
        <v>500</v>
      </c>
      <c r="BN112" s="75">
        <v>0.1</v>
      </c>
      <c r="BO112" s="77" t="s">
        <v>551</v>
      </c>
      <c r="BP112" s="77">
        <v>0.25</v>
      </c>
      <c r="BQ112" s="79" t="s">
        <v>449</v>
      </c>
      <c r="BR112" s="79">
        <v>0.1</v>
      </c>
      <c r="BT112" s="77" t="s">
        <v>556</v>
      </c>
      <c r="BU112" s="77">
        <v>0.1</v>
      </c>
      <c r="BW112" s="155">
        <f t="shared" si="13"/>
        <v>3</v>
      </c>
      <c r="BX112" s="75" t="str">
        <f t="shared" si="14"/>
        <v>3AP\</v>
      </c>
      <c r="BY112" s="75">
        <v>0.1</v>
      </c>
      <c r="CD112" t="s">
        <v>962</v>
      </c>
      <c r="CE112" t="s">
        <v>1354</v>
      </c>
      <c r="CF112" t="s">
        <v>1173</v>
      </c>
    </row>
    <row r="113" spans="4:84" x14ac:dyDescent="0.25">
      <c r="D113">
        <v>11</v>
      </c>
      <c r="W113" s="3" t="e">
        <f t="shared" si="9"/>
        <v>#N/A</v>
      </c>
      <c r="X113" s="3" t="e">
        <f t="shared" si="10"/>
        <v>#N/A</v>
      </c>
      <c r="Y113" s="3" t="e">
        <f t="shared" si="11"/>
        <v>#N/A</v>
      </c>
      <c r="Z113" s="3" t="e">
        <f t="shared" si="12"/>
        <v>#N/A</v>
      </c>
      <c r="AG113" s="3"/>
      <c r="AH113" t="s">
        <v>208</v>
      </c>
      <c r="AI113" s="3">
        <v>0.16500000000000001</v>
      </c>
      <c r="AJ113" t="s">
        <v>208</v>
      </c>
      <c r="AK113" s="3">
        <v>0.16500000000000001</v>
      </c>
      <c r="AL113" t="s">
        <v>208</v>
      </c>
      <c r="AM113" s="3">
        <v>0.16500000000000001</v>
      </c>
      <c r="BK113" s="74"/>
      <c r="BL113" s="74"/>
      <c r="BM113" s="75" t="s">
        <v>1504</v>
      </c>
      <c r="BN113" s="75">
        <v>0.15</v>
      </c>
      <c r="BO113" s="77" t="s">
        <v>553</v>
      </c>
      <c r="BP113" s="77">
        <v>0.3</v>
      </c>
      <c r="BQ113" s="79" t="s">
        <v>450</v>
      </c>
      <c r="BR113" s="79">
        <v>0.1</v>
      </c>
      <c r="BT113" s="77" t="s">
        <v>558</v>
      </c>
      <c r="BU113" s="77">
        <v>0.1</v>
      </c>
      <c r="BW113" s="155">
        <f t="shared" si="13"/>
        <v>5</v>
      </c>
      <c r="BX113" s="75" t="str">
        <f t="shared" si="14"/>
        <v>5SF+FB</v>
      </c>
      <c r="BY113" s="75">
        <v>0.15</v>
      </c>
      <c r="CD113" t="s">
        <v>963</v>
      </c>
      <c r="CE113" t="s">
        <v>1355</v>
      </c>
      <c r="CF113" t="s">
        <v>1174</v>
      </c>
    </row>
    <row r="114" spans="4:84" x14ac:dyDescent="0.25">
      <c r="D114">
        <v>11</v>
      </c>
      <c r="W114" s="3" t="e">
        <f t="shared" si="9"/>
        <v>#N/A</v>
      </c>
      <c r="X114" s="3" t="e">
        <f t="shared" si="10"/>
        <v>#N/A</v>
      </c>
      <c r="Y114" s="3" t="e">
        <f t="shared" si="11"/>
        <v>#N/A</v>
      </c>
      <c r="Z114" s="3" t="e">
        <f t="shared" si="12"/>
        <v>#N/A</v>
      </c>
      <c r="AL114" t="s">
        <v>843</v>
      </c>
      <c r="AM114" s="3">
        <v>0.15</v>
      </c>
      <c r="BK114" s="74"/>
      <c r="BL114" s="74"/>
      <c r="BM114" s="75" t="s">
        <v>1505</v>
      </c>
      <c r="BN114" s="75">
        <v>1.5</v>
      </c>
      <c r="BO114" s="77" t="s">
        <v>555</v>
      </c>
      <c r="BP114" s="77">
        <v>0.3</v>
      </c>
      <c r="BQ114" s="79" t="s">
        <v>451</v>
      </c>
      <c r="BR114" s="79">
        <v>0.1</v>
      </c>
      <c r="BT114" s="77" t="s">
        <v>759</v>
      </c>
      <c r="BU114" s="77">
        <v>0.45</v>
      </c>
      <c r="BW114" s="155">
        <f t="shared" si="13"/>
        <v>4</v>
      </c>
      <c r="BX114" s="75" t="str">
        <f t="shared" si="14"/>
        <v>4Px1P</v>
      </c>
      <c r="BY114" s="75">
        <v>1.5</v>
      </c>
      <c r="CD114" t="s">
        <v>964</v>
      </c>
      <c r="CE114" t="s">
        <v>1356</v>
      </c>
      <c r="CF114" t="s">
        <v>1175</v>
      </c>
    </row>
    <row r="115" spans="4:84" x14ac:dyDescent="0.25">
      <c r="D115">
        <v>11</v>
      </c>
      <c r="W115" s="3" t="e">
        <f t="shared" si="9"/>
        <v>#N/A</v>
      </c>
      <c r="X115" s="3" t="e">
        <f t="shared" si="10"/>
        <v>#N/A</v>
      </c>
      <c r="Y115" s="3" t="e">
        <f t="shared" si="11"/>
        <v>#N/A</v>
      </c>
      <c r="Z115" s="3" t="e">
        <f t="shared" si="12"/>
        <v>#N/A</v>
      </c>
      <c r="AL115" t="s">
        <v>844</v>
      </c>
      <c r="AM115" s="3">
        <v>0.3</v>
      </c>
      <c r="BK115" s="74"/>
      <c r="BL115" s="74"/>
      <c r="BM115" s="75" t="s">
        <v>1507</v>
      </c>
      <c r="BN115" s="75">
        <v>0.3</v>
      </c>
      <c r="BO115" s="77" t="s">
        <v>557</v>
      </c>
      <c r="BP115" s="77">
        <v>0.35</v>
      </c>
      <c r="BQ115" s="79" t="s">
        <v>452</v>
      </c>
      <c r="BR115" s="79">
        <v>0.2</v>
      </c>
      <c r="BT115" s="77" t="s">
        <v>560</v>
      </c>
      <c r="BU115" s="77">
        <v>0.05</v>
      </c>
      <c r="BW115" s="155">
        <f t="shared" si="13"/>
        <v>4</v>
      </c>
      <c r="BX115" s="75" t="str">
        <f t="shared" si="14"/>
        <v>4SiF1</v>
      </c>
      <c r="BY115" s="75">
        <v>0.3</v>
      </c>
      <c r="CD115" t="s">
        <v>965</v>
      </c>
      <c r="CE115" t="s">
        <v>1357</v>
      </c>
      <c r="CF115" t="s">
        <v>1176</v>
      </c>
    </row>
    <row r="116" spans="4:84" x14ac:dyDescent="0.25">
      <c r="D116">
        <v>11</v>
      </c>
      <c r="W116" s="3" t="e">
        <f t="shared" si="9"/>
        <v>#N/A</v>
      </c>
      <c r="X116" s="3" t="e">
        <f t="shared" si="10"/>
        <v>#N/A</v>
      </c>
      <c r="Y116" s="3" t="e">
        <f t="shared" si="11"/>
        <v>#N/A</v>
      </c>
      <c r="Z116" s="3" t="e">
        <f t="shared" si="12"/>
        <v>#N/A</v>
      </c>
      <c r="AL116" t="s">
        <v>845</v>
      </c>
      <c r="AM116" s="3">
        <v>0.45</v>
      </c>
      <c r="BK116" s="74"/>
      <c r="BL116" s="74"/>
      <c r="BM116" s="75"/>
      <c r="BN116" s="75"/>
      <c r="BO116" s="77" t="s">
        <v>758</v>
      </c>
      <c r="BP116" s="77">
        <v>0.6</v>
      </c>
      <c r="BQ116" s="79" t="s">
        <v>453</v>
      </c>
      <c r="BR116" s="79">
        <v>0.1</v>
      </c>
      <c r="BT116" s="77" t="s">
        <v>562</v>
      </c>
      <c r="BU116" s="77">
        <v>0.15</v>
      </c>
      <c r="BW116" s="155"/>
      <c r="BX116" s="75"/>
      <c r="BY116" s="75"/>
      <c r="CD116" t="s">
        <v>966</v>
      </c>
      <c r="CE116" t="s">
        <v>1358</v>
      </c>
      <c r="CF116" t="s">
        <v>1177</v>
      </c>
    </row>
    <row r="117" spans="4:84" x14ac:dyDescent="0.25">
      <c r="D117">
        <v>11</v>
      </c>
      <c r="W117" s="3" t="e">
        <f t="shared" ref="W117:W119" si="15">IF($W$1="Solo",IF(AF116="","",AF116),IF($W$1="Duet",IF(AH116="","",AH116),IF($W$1="Mixed",IF(AJ116="","",AJ116),IF(AL116="","",AL116))))</f>
        <v>#N/A</v>
      </c>
      <c r="X117" s="3" t="e">
        <f t="shared" ref="X117:X119" si="16">IF($W$1="Solo",IF(AG116="","",AG116),IF($W$1="Duet",IF(AI116="","",AI116),IF($W$1="Mixed",IF(AK116="","",AK116),IF(AM116="","",AM116))))</f>
        <v>#N/A</v>
      </c>
      <c r="AL117" t="s">
        <v>846</v>
      </c>
      <c r="AM117" s="3">
        <v>0.55000000000000004</v>
      </c>
      <c r="BK117" s="74"/>
      <c r="BL117" s="74"/>
      <c r="BM117" s="75"/>
      <c r="BN117" s="75"/>
      <c r="BO117" s="77" t="s">
        <v>559</v>
      </c>
      <c r="BP117" s="77">
        <v>0.2</v>
      </c>
      <c r="BQ117" s="79" t="s">
        <v>1491</v>
      </c>
      <c r="BR117" s="79">
        <v>0.1</v>
      </c>
      <c r="BT117" s="77" t="s">
        <v>564</v>
      </c>
      <c r="BU117" s="77">
        <v>0.1</v>
      </c>
      <c r="BW117" s="155"/>
      <c r="BX117" s="75"/>
      <c r="BY117" s="75"/>
      <c r="CD117" t="s">
        <v>967</v>
      </c>
      <c r="CE117" t="s">
        <v>1359</v>
      </c>
      <c r="CF117" t="s">
        <v>1178</v>
      </c>
    </row>
    <row r="118" spans="4:84" x14ac:dyDescent="0.25">
      <c r="W118" s="3" t="e">
        <f t="shared" si="15"/>
        <v>#N/A</v>
      </c>
      <c r="X118" s="3" t="e">
        <f t="shared" si="16"/>
        <v>#N/A</v>
      </c>
      <c r="AL118" t="s">
        <v>847</v>
      </c>
      <c r="AM118" s="3">
        <v>0.6</v>
      </c>
      <c r="BK118" s="74"/>
      <c r="BL118" s="74"/>
      <c r="BM118" s="75"/>
      <c r="BN118" s="75"/>
      <c r="BO118" s="77" t="s">
        <v>561</v>
      </c>
      <c r="BP118" s="77">
        <v>0.25</v>
      </c>
      <c r="BQ118" s="79" t="s">
        <v>454</v>
      </c>
      <c r="BR118" s="79">
        <v>0.25</v>
      </c>
      <c r="BT118" s="77" t="s">
        <v>566</v>
      </c>
      <c r="BU118" s="77">
        <v>0.1</v>
      </c>
      <c r="BW118" s="155"/>
      <c r="BX118" s="75"/>
      <c r="BY118" s="75"/>
      <c r="CD118" t="s">
        <v>968</v>
      </c>
      <c r="CE118" t="s">
        <v>1360</v>
      </c>
      <c r="CF118" t="s">
        <v>1179</v>
      </c>
    </row>
    <row r="119" spans="4:84" x14ac:dyDescent="0.25">
      <c r="W119" s="3" t="e">
        <f t="shared" si="15"/>
        <v>#N/A</v>
      </c>
      <c r="X119" s="3" t="e">
        <f t="shared" si="16"/>
        <v>#N/A</v>
      </c>
      <c r="AL119" t="s">
        <v>848</v>
      </c>
      <c r="AM119" s="3">
        <v>0.65</v>
      </c>
      <c r="BK119" s="74"/>
      <c r="BL119" s="74"/>
      <c r="BM119" s="75"/>
      <c r="BN119" s="75"/>
      <c r="BO119" s="77" t="s">
        <v>563</v>
      </c>
      <c r="BP119" s="77">
        <v>0.3</v>
      </c>
      <c r="BQ119" s="79" t="s">
        <v>455</v>
      </c>
      <c r="BR119" s="79">
        <v>0.05</v>
      </c>
      <c r="BT119" s="77" t="s">
        <v>1490</v>
      </c>
      <c r="BU119" s="77">
        <v>0.2</v>
      </c>
      <c r="BW119" s="155"/>
      <c r="BX119" s="75"/>
      <c r="BY119" s="75"/>
      <c r="CD119" t="s">
        <v>969</v>
      </c>
      <c r="CE119" t="s">
        <v>1361</v>
      </c>
      <c r="CF119" t="s">
        <v>1180</v>
      </c>
    </row>
    <row r="120" spans="4:84" x14ac:dyDescent="0.25">
      <c r="W120" s="3" t="e">
        <f t="shared" ref="W120" si="17">IF($W$1="Solo",IF(AF119="","",AF119),IF($W$1="Duet",IF(AH119="","",AH119),IF($W$1="Mixed",IF(AJ119="","",AJ119),IF(AL119="","",AL119))))</f>
        <v>#N/A</v>
      </c>
      <c r="X120" s="3" t="e">
        <f t="shared" ref="X120" si="18">IF($W$1="Solo",IF(AG119="","",AG119),IF($W$1="Duet",IF(AI119="","",AI119),IF($W$1="Mixed",IF(AK119="","",AK119),IF(AM119="","",AM119))))</f>
        <v>#N/A</v>
      </c>
      <c r="BK120" s="74"/>
      <c r="BL120" s="74"/>
      <c r="BM120" s="75"/>
      <c r="BN120" s="75"/>
      <c r="BO120" s="77" t="s">
        <v>565</v>
      </c>
      <c r="BP120" s="77">
        <v>0.3</v>
      </c>
      <c r="BQ120" s="79" t="s">
        <v>456</v>
      </c>
      <c r="BR120" s="79">
        <v>0.15</v>
      </c>
      <c r="BT120" s="77" t="s">
        <v>568</v>
      </c>
      <c r="BU120" s="77">
        <v>0.15</v>
      </c>
      <c r="BW120" s="155"/>
      <c r="BX120" s="75"/>
      <c r="BY120" s="75"/>
      <c r="CD120" t="s">
        <v>970</v>
      </c>
      <c r="CE120" t="s">
        <v>1362</v>
      </c>
      <c r="CF120" t="s">
        <v>1181</v>
      </c>
    </row>
    <row r="121" spans="4:84" x14ac:dyDescent="0.25">
      <c r="D121">
        <v>12</v>
      </c>
      <c r="E121" t="s">
        <v>28</v>
      </c>
      <c r="BK121" s="74"/>
      <c r="BL121" s="74"/>
      <c r="BM121" s="75"/>
      <c r="BN121" s="75"/>
      <c r="BO121" s="77" t="s">
        <v>1529</v>
      </c>
      <c r="BP121" s="77">
        <v>0.35</v>
      </c>
      <c r="BQ121" s="79" t="s">
        <v>457</v>
      </c>
      <c r="BR121" s="79">
        <v>0.2</v>
      </c>
      <c r="BT121" s="77" t="s">
        <v>761</v>
      </c>
      <c r="BU121" s="77">
        <v>0.15</v>
      </c>
      <c r="BW121" s="155"/>
      <c r="BX121" s="75"/>
      <c r="BY121" s="75"/>
      <c r="CD121" t="s">
        <v>971</v>
      </c>
      <c r="CE121" t="s">
        <v>1363</v>
      </c>
      <c r="CF121" t="s">
        <v>1182</v>
      </c>
    </row>
    <row r="122" spans="4:84" x14ac:dyDescent="0.25">
      <c r="D122">
        <v>12</v>
      </c>
      <c r="E122" t="s">
        <v>26</v>
      </c>
      <c r="BK122" s="74"/>
      <c r="BL122" s="74"/>
      <c r="BM122" s="75"/>
      <c r="BN122" s="75"/>
      <c r="BO122" s="77" t="s">
        <v>567</v>
      </c>
      <c r="BP122" s="77">
        <v>0.35</v>
      </c>
      <c r="BQ122" s="79" t="s">
        <v>1506</v>
      </c>
      <c r="BR122" s="79">
        <v>0.95</v>
      </c>
      <c r="BT122" s="77" t="s">
        <v>570</v>
      </c>
      <c r="BU122" s="77">
        <v>0.2</v>
      </c>
      <c r="CD122" t="s">
        <v>972</v>
      </c>
      <c r="CE122" t="s">
        <v>1364</v>
      </c>
      <c r="CF122" t="s">
        <v>1183</v>
      </c>
    </row>
    <row r="123" spans="4:84" x14ac:dyDescent="0.25">
      <c r="D123">
        <v>12</v>
      </c>
      <c r="E123" t="s">
        <v>738</v>
      </c>
      <c r="BK123" s="74"/>
      <c r="BL123" s="74"/>
      <c r="BM123" s="75"/>
      <c r="BN123" s="75"/>
      <c r="BO123" s="77" t="s">
        <v>760</v>
      </c>
      <c r="BP123" s="77">
        <v>0.4</v>
      </c>
      <c r="BQ123" s="79" t="s">
        <v>1509</v>
      </c>
      <c r="BR123" s="79">
        <v>0.2</v>
      </c>
      <c r="BT123" s="77" t="s">
        <v>572</v>
      </c>
      <c r="BU123" s="77">
        <v>0.15</v>
      </c>
      <c r="CD123" t="s">
        <v>973</v>
      </c>
      <c r="CE123" t="s">
        <v>1365</v>
      </c>
      <c r="CF123" t="s">
        <v>1184</v>
      </c>
    </row>
    <row r="124" spans="4:84" x14ac:dyDescent="0.25">
      <c r="D124">
        <v>12</v>
      </c>
      <c r="E124" t="s">
        <v>766</v>
      </c>
      <c r="BK124" s="74"/>
      <c r="BL124" s="74"/>
      <c r="BM124" s="75"/>
      <c r="BN124" s="75"/>
      <c r="BO124" s="77" t="s">
        <v>569</v>
      </c>
      <c r="BP124" s="77">
        <v>0.4</v>
      </c>
      <c r="BQ124" s="79"/>
      <c r="BR124" s="79"/>
      <c r="BT124" s="77" t="s">
        <v>574</v>
      </c>
      <c r="BU124" s="77">
        <v>0.2</v>
      </c>
      <c r="CD124" t="s">
        <v>974</v>
      </c>
      <c r="CE124" t="s">
        <v>1366</v>
      </c>
      <c r="CF124" t="s">
        <v>1185</v>
      </c>
    </row>
    <row r="125" spans="4:84" x14ac:dyDescent="0.25">
      <c r="D125">
        <v>12</v>
      </c>
      <c r="E125" t="s">
        <v>740</v>
      </c>
      <c r="BK125" s="74"/>
      <c r="BL125" s="74"/>
      <c r="BM125" s="75"/>
      <c r="BN125" s="75"/>
      <c r="BO125" s="77" t="s">
        <v>571</v>
      </c>
      <c r="BP125" s="77">
        <v>0.45</v>
      </c>
      <c r="BQ125" s="79"/>
      <c r="BR125" s="79"/>
      <c r="BT125" s="77" t="s">
        <v>576</v>
      </c>
      <c r="BU125" s="77">
        <v>0.2</v>
      </c>
      <c r="CD125" t="s">
        <v>975</v>
      </c>
      <c r="CE125" t="s">
        <v>1367</v>
      </c>
      <c r="CF125" t="s">
        <v>1186</v>
      </c>
    </row>
    <row r="126" spans="4:84" x14ac:dyDescent="0.25">
      <c r="D126">
        <v>12</v>
      </c>
      <c r="E126" t="s">
        <v>741</v>
      </c>
      <c r="BK126" s="74"/>
      <c r="BL126" s="74"/>
      <c r="BM126" s="75"/>
      <c r="BN126" s="75"/>
      <c r="BO126" s="77" t="s">
        <v>573</v>
      </c>
      <c r="BP126" s="77">
        <v>0.45</v>
      </c>
      <c r="BQ126" s="79"/>
      <c r="BR126" s="79"/>
      <c r="BT126" s="77" t="s">
        <v>578</v>
      </c>
      <c r="BU126" s="77">
        <v>0.3</v>
      </c>
      <c r="CD126" t="s">
        <v>976</v>
      </c>
      <c r="CE126" t="s">
        <v>1454</v>
      </c>
      <c r="CF126" t="s">
        <v>1187</v>
      </c>
    </row>
    <row r="127" spans="4:84" x14ac:dyDescent="0.25">
      <c r="BK127" s="74"/>
      <c r="BL127" s="74"/>
      <c r="BM127" s="75"/>
      <c r="BN127" s="75"/>
      <c r="BO127" s="77" t="s">
        <v>575</v>
      </c>
      <c r="BP127" s="77">
        <v>0.45</v>
      </c>
      <c r="BQ127" s="79"/>
      <c r="BR127" s="79"/>
      <c r="BT127" s="77" t="s">
        <v>580</v>
      </c>
      <c r="BU127" s="77">
        <v>0.5</v>
      </c>
      <c r="CD127" t="s">
        <v>977</v>
      </c>
      <c r="CE127" t="s">
        <v>1368</v>
      </c>
      <c r="CF127" t="s">
        <v>1188</v>
      </c>
    </row>
    <row r="128" spans="4:84" x14ac:dyDescent="0.25">
      <c r="BK128" s="74"/>
      <c r="BL128" s="74"/>
      <c r="BM128" s="75"/>
      <c r="BN128" s="75"/>
      <c r="BO128" s="77" t="s">
        <v>577</v>
      </c>
      <c r="BP128" s="77">
        <v>0.6</v>
      </c>
      <c r="BQ128" s="79"/>
      <c r="BR128" s="79"/>
      <c r="BT128" s="77"/>
      <c r="BU128" s="77"/>
      <c r="CD128" t="s">
        <v>978</v>
      </c>
      <c r="CE128" t="s">
        <v>1369</v>
      </c>
      <c r="CF128" t="s">
        <v>1189</v>
      </c>
    </row>
    <row r="129" spans="5:84" x14ac:dyDescent="0.25">
      <c r="BK129" s="74"/>
      <c r="BL129" s="74"/>
      <c r="BM129" s="75"/>
      <c r="BN129" s="75"/>
      <c r="BO129" s="77" t="s">
        <v>579</v>
      </c>
      <c r="BP129" s="77">
        <v>1</v>
      </c>
      <c r="BQ129" s="79"/>
      <c r="BR129" s="79"/>
      <c r="BT129" s="77"/>
      <c r="BU129" s="77"/>
      <c r="CD129" t="s">
        <v>979</v>
      </c>
      <c r="CE129" t="s">
        <v>1370</v>
      </c>
      <c r="CF129" t="s">
        <v>1190</v>
      </c>
    </row>
    <row r="130" spans="5:84" x14ac:dyDescent="0.25">
      <c r="BJ130" s="8">
        <v>5</v>
      </c>
      <c r="BK130" s="74"/>
      <c r="BL130" s="74"/>
      <c r="BM130" s="75" t="s">
        <v>501</v>
      </c>
      <c r="BN130" s="75">
        <v>0.1</v>
      </c>
      <c r="BO130" s="77"/>
      <c r="BP130" s="77"/>
      <c r="BQ130" s="79" t="s">
        <v>501</v>
      </c>
      <c r="BR130" s="79">
        <v>0.1</v>
      </c>
      <c r="CD130" t="s">
        <v>980</v>
      </c>
      <c r="CE130" t="s">
        <v>1371</v>
      </c>
      <c r="CF130" t="s">
        <v>1191</v>
      </c>
    </row>
    <row r="131" spans="5:84" x14ac:dyDescent="0.25">
      <c r="BK131" s="74"/>
      <c r="BL131" s="74"/>
      <c r="BM131" s="75" t="s">
        <v>502</v>
      </c>
      <c r="BN131" s="75">
        <v>0.15</v>
      </c>
      <c r="BO131" s="77"/>
      <c r="BP131" s="77"/>
      <c r="BQ131" s="79" t="s">
        <v>502</v>
      </c>
      <c r="BR131" s="79">
        <v>0.15</v>
      </c>
      <c r="CD131" t="s">
        <v>981</v>
      </c>
      <c r="CE131" t="s">
        <v>1372</v>
      </c>
      <c r="CF131" t="s">
        <v>1192</v>
      </c>
    </row>
    <row r="132" spans="5:84" x14ac:dyDescent="0.25">
      <c r="BK132" s="74"/>
      <c r="BL132" s="74"/>
      <c r="BM132" s="75" t="s">
        <v>504</v>
      </c>
      <c r="BN132" s="75">
        <v>0.2</v>
      </c>
      <c r="BO132" s="77"/>
      <c r="BP132" s="77"/>
      <c r="BQ132" s="79" t="s">
        <v>504</v>
      </c>
      <c r="BR132" s="79">
        <v>0.2</v>
      </c>
      <c r="CD132" t="s">
        <v>982</v>
      </c>
      <c r="CE132" t="s">
        <v>1373</v>
      </c>
      <c r="CF132" t="s">
        <v>1193</v>
      </c>
    </row>
    <row r="133" spans="5:84" x14ac:dyDescent="0.25">
      <c r="BK133" s="74"/>
      <c r="BL133" s="74"/>
      <c r="BM133" s="75" t="s">
        <v>506</v>
      </c>
      <c r="BN133" s="75">
        <v>0.25</v>
      </c>
      <c r="BO133" s="77"/>
      <c r="BP133" s="77"/>
      <c r="BQ133" s="79" t="s">
        <v>506</v>
      </c>
      <c r="BR133" s="79">
        <v>0.25</v>
      </c>
      <c r="CD133" t="s">
        <v>983</v>
      </c>
      <c r="CE133" t="s">
        <v>1374</v>
      </c>
      <c r="CF133" t="s">
        <v>1194</v>
      </c>
    </row>
    <row r="134" spans="5:84" x14ac:dyDescent="0.25">
      <c r="BK134" s="74"/>
      <c r="BL134" s="74"/>
      <c r="BM134" s="75" t="s">
        <v>507</v>
      </c>
      <c r="BN134" s="75">
        <v>0.45</v>
      </c>
      <c r="BO134" s="77"/>
      <c r="BP134" s="77"/>
      <c r="BQ134" s="79" t="s">
        <v>507</v>
      </c>
      <c r="BR134" s="79">
        <v>0.45</v>
      </c>
      <c r="CD134" t="s">
        <v>984</v>
      </c>
      <c r="CE134" t="s">
        <v>1375</v>
      </c>
      <c r="CF134" t="s">
        <v>1195</v>
      </c>
    </row>
    <row r="135" spans="5:84" x14ac:dyDescent="0.25">
      <c r="BK135" s="74"/>
      <c r="BL135" s="74"/>
      <c r="BM135" s="75" t="s">
        <v>510</v>
      </c>
      <c r="BN135" s="75">
        <v>0.4</v>
      </c>
      <c r="BO135" s="77"/>
      <c r="BP135" s="77"/>
      <c r="BQ135" s="79" t="s">
        <v>510</v>
      </c>
      <c r="BR135" s="79">
        <v>0.4</v>
      </c>
      <c r="CD135" t="s">
        <v>985</v>
      </c>
      <c r="CE135" t="s">
        <v>1376</v>
      </c>
      <c r="CF135" t="s">
        <v>1196</v>
      </c>
    </row>
    <row r="136" spans="5:84" x14ac:dyDescent="0.25">
      <c r="BK136" s="74"/>
      <c r="BL136" s="74"/>
      <c r="BM136" s="75" t="s">
        <v>512</v>
      </c>
      <c r="BN136" s="75">
        <v>0.5</v>
      </c>
      <c r="BO136" s="77"/>
      <c r="BP136" s="77"/>
      <c r="BQ136" s="79" t="s">
        <v>512</v>
      </c>
      <c r="BR136" s="79">
        <v>0.5</v>
      </c>
      <c r="CD136" t="s">
        <v>986</v>
      </c>
      <c r="CE136" t="s">
        <v>1377</v>
      </c>
      <c r="CF136" t="s">
        <v>1197</v>
      </c>
    </row>
    <row r="137" spans="5:84" x14ac:dyDescent="0.25">
      <c r="BK137" s="74"/>
      <c r="BL137" s="74"/>
      <c r="BM137" s="76" t="s">
        <v>514</v>
      </c>
      <c r="BN137" s="75">
        <v>0.25</v>
      </c>
      <c r="BO137" s="77"/>
      <c r="BP137" s="77"/>
      <c r="BQ137" s="79" t="s">
        <v>514</v>
      </c>
      <c r="BR137" s="79">
        <v>0.25</v>
      </c>
      <c r="CD137" t="s">
        <v>987</v>
      </c>
      <c r="CE137" t="s">
        <v>1378</v>
      </c>
      <c r="CF137" t="s">
        <v>1198</v>
      </c>
    </row>
    <row r="138" spans="5:84" x14ac:dyDescent="0.25">
      <c r="E138" t="s">
        <v>19</v>
      </c>
      <c r="BK138" s="74"/>
      <c r="BL138" s="74"/>
      <c r="BM138" s="75" t="s">
        <v>516</v>
      </c>
      <c r="BN138" s="75">
        <v>0.35</v>
      </c>
      <c r="BO138" s="77"/>
      <c r="BP138" s="77"/>
      <c r="BQ138" s="79" t="s">
        <v>516</v>
      </c>
      <c r="BR138" s="79">
        <v>0.35</v>
      </c>
      <c r="CD138" t="s">
        <v>988</v>
      </c>
      <c r="CE138" t="s">
        <v>1379</v>
      </c>
      <c r="CF138" t="s">
        <v>1199</v>
      </c>
    </row>
    <row r="139" spans="5:84" x14ac:dyDescent="0.25">
      <c r="E139" t="s">
        <v>738</v>
      </c>
      <c r="BK139" s="74"/>
      <c r="BL139" s="74"/>
      <c r="BM139" s="75" t="s">
        <v>518</v>
      </c>
      <c r="BN139" s="75">
        <v>0.45</v>
      </c>
      <c r="BO139" s="77"/>
      <c r="BP139" s="77"/>
      <c r="BQ139" s="79" t="s">
        <v>518</v>
      </c>
      <c r="BR139" s="79">
        <v>0.45</v>
      </c>
      <c r="CD139" t="s">
        <v>989</v>
      </c>
      <c r="CE139" t="s">
        <v>1380</v>
      </c>
      <c r="CF139" t="s">
        <v>1200</v>
      </c>
    </row>
    <row r="140" spans="5:84" x14ac:dyDescent="0.25">
      <c r="E140" t="s">
        <v>740</v>
      </c>
      <c r="BK140" s="74"/>
      <c r="BL140" s="74"/>
      <c r="BM140" s="75" t="s">
        <v>520</v>
      </c>
      <c r="BN140" s="75">
        <v>0.55000000000000004</v>
      </c>
      <c r="BO140" s="77"/>
      <c r="BP140" s="77"/>
      <c r="BQ140" s="79" t="s">
        <v>520</v>
      </c>
      <c r="BR140" s="79">
        <v>0.55000000000000004</v>
      </c>
      <c r="CD140" t="s">
        <v>990</v>
      </c>
      <c r="CE140" t="s">
        <v>1473</v>
      </c>
      <c r="CF140" t="s">
        <v>1201</v>
      </c>
    </row>
    <row r="141" spans="5:84" x14ac:dyDescent="0.25">
      <c r="E141" t="s">
        <v>739</v>
      </c>
      <c r="BK141" s="74"/>
      <c r="BL141" s="74"/>
      <c r="BM141" s="75" t="s">
        <v>522</v>
      </c>
      <c r="BN141" s="75">
        <v>0.65</v>
      </c>
      <c r="BO141" s="77"/>
      <c r="BP141" s="77"/>
      <c r="BQ141" s="79" t="s">
        <v>522</v>
      </c>
      <c r="BR141" s="79">
        <v>0.65</v>
      </c>
      <c r="CD141" t="s">
        <v>991</v>
      </c>
      <c r="CE141" t="s">
        <v>1381</v>
      </c>
      <c r="CF141" t="s">
        <v>1202</v>
      </c>
    </row>
    <row r="142" spans="5:84" x14ac:dyDescent="0.25">
      <c r="E142" t="s">
        <v>741</v>
      </c>
      <c r="BK142" s="74"/>
      <c r="BL142" s="74"/>
      <c r="BM142" s="75" t="s">
        <v>524</v>
      </c>
      <c r="BN142" s="75">
        <v>0.1</v>
      </c>
      <c r="BO142" s="77"/>
      <c r="BP142" s="77"/>
      <c r="BQ142" s="79" t="s">
        <v>524</v>
      </c>
      <c r="BR142" s="79">
        <v>0.1</v>
      </c>
      <c r="CD142" t="s">
        <v>992</v>
      </c>
      <c r="CE142" t="s">
        <v>1382</v>
      </c>
      <c r="CF142" t="s">
        <v>1203</v>
      </c>
    </row>
    <row r="143" spans="5:84" x14ac:dyDescent="0.25">
      <c r="E143" t="s">
        <v>31</v>
      </c>
      <c r="BK143" s="74"/>
      <c r="BL143" s="74"/>
      <c r="BM143" s="75" t="s">
        <v>526</v>
      </c>
      <c r="BN143" s="75">
        <v>0.15</v>
      </c>
      <c r="BO143" s="77"/>
      <c r="BP143" s="77"/>
      <c r="BQ143" s="79" t="s">
        <v>526</v>
      </c>
      <c r="BR143" s="79">
        <v>0.15</v>
      </c>
      <c r="CD143" t="s">
        <v>993</v>
      </c>
      <c r="CE143" t="s">
        <v>1383</v>
      </c>
      <c r="CF143" t="s">
        <v>1204</v>
      </c>
    </row>
    <row r="144" spans="5:84" x14ac:dyDescent="0.25">
      <c r="E144" t="s">
        <v>777</v>
      </c>
      <c r="BK144" s="74"/>
      <c r="BL144" s="74"/>
      <c r="BM144" s="75" t="s">
        <v>528</v>
      </c>
      <c r="BN144" s="75">
        <v>0.05</v>
      </c>
      <c r="BO144" s="77"/>
      <c r="BP144" s="77"/>
      <c r="BQ144" s="79" t="s">
        <v>528</v>
      </c>
      <c r="BR144" s="79">
        <v>0.05</v>
      </c>
      <c r="CD144" t="s">
        <v>994</v>
      </c>
      <c r="CE144" t="s">
        <v>1455</v>
      </c>
      <c r="CF144" t="s">
        <v>1205</v>
      </c>
    </row>
    <row r="145" spans="5:84" x14ac:dyDescent="0.25">
      <c r="E145" t="s">
        <v>26</v>
      </c>
      <c r="BK145" s="74"/>
      <c r="BL145" s="74"/>
      <c r="BM145" s="75" t="s">
        <v>530</v>
      </c>
      <c r="BN145" s="75">
        <v>0.1</v>
      </c>
      <c r="BO145" s="77"/>
      <c r="BP145" s="77"/>
      <c r="BQ145" s="79" t="s">
        <v>530</v>
      </c>
      <c r="BR145" s="79">
        <v>0.1</v>
      </c>
      <c r="CD145" t="s">
        <v>995</v>
      </c>
      <c r="CE145" t="s">
        <v>1456</v>
      </c>
      <c r="CF145" t="s">
        <v>1206</v>
      </c>
    </row>
    <row r="146" spans="5:84" x14ac:dyDescent="0.25">
      <c r="E146" t="s">
        <v>746</v>
      </c>
      <c r="BK146" s="74"/>
      <c r="BL146" s="74"/>
      <c r="BM146" s="75" t="s">
        <v>532</v>
      </c>
      <c r="BN146" s="75">
        <v>0.2</v>
      </c>
      <c r="BO146" s="77"/>
      <c r="BP146" s="77"/>
      <c r="BQ146" s="79" t="s">
        <v>532</v>
      </c>
      <c r="BR146" s="79">
        <v>0.2</v>
      </c>
      <c r="CD146" t="s">
        <v>996</v>
      </c>
      <c r="CE146" t="s">
        <v>1384</v>
      </c>
      <c r="CF146" t="s">
        <v>1207</v>
      </c>
    </row>
    <row r="147" spans="5:84" x14ac:dyDescent="0.25">
      <c r="E147" t="s">
        <v>747</v>
      </c>
      <c r="BK147" s="74"/>
      <c r="BL147" s="74"/>
      <c r="BM147" s="75" t="s">
        <v>534</v>
      </c>
      <c r="BN147" s="75">
        <v>0.2</v>
      </c>
      <c r="BO147" s="77"/>
      <c r="BP147" s="77"/>
      <c r="BQ147" s="79" t="s">
        <v>534</v>
      </c>
      <c r="BR147" s="79">
        <v>0.2</v>
      </c>
      <c r="CD147" t="s">
        <v>997</v>
      </c>
      <c r="CE147" t="s">
        <v>1385</v>
      </c>
      <c r="CF147" t="s">
        <v>1208</v>
      </c>
    </row>
    <row r="148" spans="5:84" x14ac:dyDescent="0.25">
      <c r="E148" t="s">
        <v>742</v>
      </c>
      <c r="BK148" s="74"/>
      <c r="BL148" s="74"/>
      <c r="BM148" s="75" t="s">
        <v>535</v>
      </c>
      <c r="BN148" s="75">
        <v>0.2</v>
      </c>
      <c r="BO148" s="77"/>
      <c r="BP148" s="77"/>
      <c r="BQ148" s="79" t="s">
        <v>535</v>
      </c>
      <c r="BR148" s="79">
        <v>0.2</v>
      </c>
      <c r="CD148" t="s">
        <v>998</v>
      </c>
      <c r="CE148" t="s">
        <v>1386</v>
      </c>
      <c r="CF148" t="s">
        <v>1209</v>
      </c>
    </row>
    <row r="149" spans="5:84" x14ac:dyDescent="0.25">
      <c r="E149" t="s">
        <v>743</v>
      </c>
      <c r="BK149" s="74"/>
      <c r="BL149" s="74"/>
      <c r="BM149" s="75" t="s">
        <v>537</v>
      </c>
      <c r="BN149" s="75">
        <v>0.3</v>
      </c>
      <c r="BO149" s="77"/>
      <c r="BP149" s="77"/>
      <c r="BQ149" s="79" t="s">
        <v>537</v>
      </c>
      <c r="BR149" s="79">
        <v>0.3</v>
      </c>
      <c r="CD149" t="s">
        <v>999</v>
      </c>
      <c r="CE149" t="s">
        <v>1387</v>
      </c>
      <c r="CF149" t="s">
        <v>1210</v>
      </c>
    </row>
    <row r="150" spans="5:84" x14ac:dyDescent="0.25">
      <c r="E150" t="s">
        <v>744</v>
      </c>
      <c r="BK150" s="74"/>
      <c r="BL150" s="74"/>
      <c r="BM150" s="75" t="s">
        <v>539</v>
      </c>
      <c r="BN150" s="75">
        <v>0.15</v>
      </c>
      <c r="BO150" s="77"/>
      <c r="BP150" s="77"/>
      <c r="BQ150" s="79" t="s">
        <v>539</v>
      </c>
      <c r="BR150" s="79">
        <v>0.15</v>
      </c>
      <c r="CD150" t="s">
        <v>1000</v>
      </c>
      <c r="CE150" t="s">
        <v>1388</v>
      </c>
      <c r="CF150" t="s">
        <v>1211</v>
      </c>
    </row>
    <row r="151" spans="5:84" x14ac:dyDescent="0.25">
      <c r="E151" t="s">
        <v>745</v>
      </c>
      <c r="BK151" s="74"/>
      <c r="BL151" s="74"/>
      <c r="BM151" s="75" t="s">
        <v>541</v>
      </c>
      <c r="BN151" s="75">
        <v>0.15</v>
      </c>
      <c r="BO151" s="77"/>
      <c r="BP151" s="77"/>
      <c r="BQ151" s="79" t="s">
        <v>541</v>
      </c>
      <c r="BR151" s="79">
        <v>0.15</v>
      </c>
      <c r="CD151" t="s">
        <v>1001</v>
      </c>
      <c r="CE151" t="s">
        <v>1389</v>
      </c>
      <c r="CF151" t="s">
        <v>1212</v>
      </c>
    </row>
    <row r="152" spans="5:84" x14ac:dyDescent="0.25">
      <c r="E152" t="s">
        <v>27</v>
      </c>
      <c r="BK152" s="74"/>
      <c r="BL152" s="74"/>
      <c r="BM152" s="75" t="s">
        <v>543</v>
      </c>
      <c r="BN152" s="75">
        <v>0.2</v>
      </c>
      <c r="BO152" s="77"/>
      <c r="BP152" s="77"/>
      <c r="BQ152" s="79" t="s">
        <v>543</v>
      </c>
      <c r="BR152" s="79">
        <v>0.2</v>
      </c>
      <c r="CD152" t="s">
        <v>1002</v>
      </c>
      <c r="CE152" t="s">
        <v>1457</v>
      </c>
      <c r="CF152" t="s">
        <v>1213</v>
      </c>
    </row>
    <row r="153" spans="5:84" x14ac:dyDescent="0.25">
      <c r="E153" t="s">
        <v>28</v>
      </c>
      <c r="BK153" s="74"/>
      <c r="BL153" s="74"/>
      <c r="BM153" s="75" t="s">
        <v>545</v>
      </c>
      <c r="BN153" s="75">
        <v>0.15</v>
      </c>
      <c r="BO153" s="77"/>
      <c r="BP153" s="77"/>
      <c r="BQ153" s="79" t="s">
        <v>545</v>
      </c>
      <c r="BR153" s="79">
        <v>0.15</v>
      </c>
      <c r="CD153" t="s">
        <v>1003</v>
      </c>
      <c r="CE153" t="s">
        <v>1390</v>
      </c>
      <c r="CF153" t="s">
        <v>1214</v>
      </c>
    </row>
    <row r="154" spans="5:84" x14ac:dyDescent="0.25">
      <c r="BK154" s="74"/>
      <c r="BL154" s="74"/>
      <c r="BM154" s="75" t="s">
        <v>547</v>
      </c>
      <c r="BN154" s="75">
        <v>0.25</v>
      </c>
      <c r="BO154" s="77"/>
      <c r="BP154" s="77"/>
      <c r="BQ154" s="79" t="s">
        <v>547</v>
      </c>
      <c r="BR154" s="79">
        <v>0.25</v>
      </c>
      <c r="CD154" t="s">
        <v>1004</v>
      </c>
      <c r="CE154" t="s">
        <v>1391</v>
      </c>
      <c r="CF154" t="s">
        <v>1215</v>
      </c>
    </row>
    <row r="155" spans="5:84" x14ac:dyDescent="0.25">
      <c r="BK155" s="74"/>
      <c r="BL155" s="74"/>
      <c r="BM155" s="75" t="s">
        <v>549</v>
      </c>
      <c r="BN155" s="75">
        <v>0.25</v>
      </c>
      <c r="BO155" s="77"/>
      <c r="BP155" s="77"/>
      <c r="BQ155" s="79" t="s">
        <v>549</v>
      </c>
      <c r="BR155" s="79">
        <v>0.25</v>
      </c>
      <c r="CD155" t="s">
        <v>1005</v>
      </c>
      <c r="CE155" t="s">
        <v>1392</v>
      </c>
      <c r="CF155" t="s">
        <v>1216</v>
      </c>
    </row>
    <row r="156" spans="5:84" x14ac:dyDescent="0.25">
      <c r="BK156" s="74"/>
      <c r="BL156" s="74"/>
      <c r="BM156" s="75" t="s">
        <v>551</v>
      </c>
      <c r="BN156" s="75">
        <v>0.25</v>
      </c>
      <c r="BO156" s="77"/>
      <c r="BP156" s="77"/>
      <c r="BQ156" s="79" t="s">
        <v>551</v>
      </c>
      <c r="BR156" s="79">
        <v>0.25</v>
      </c>
      <c r="CD156" t="s">
        <v>1006</v>
      </c>
      <c r="CE156" t="s">
        <v>1393</v>
      </c>
      <c r="CF156" t="s">
        <v>1217</v>
      </c>
    </row>
    <row r="157" spans="5:84" x14ac:dyDescent="0.25">
      <c r="BK157" s="74"/>
      <c r="BL157" s="74"/>
      <c r="BM157" s="75" t="s">
        <v>553</v>
      </c>
      <c r="BN157" s="75">
        <v>0.3</v>
      </c>
      <c r="BO157" s="77"/>
      <c r="BP157" s="77"/>
      <c r="BQ157" s="79" t="s">
        <v>553</v>
      </c>
      <c r="BR157" s="79">
        <v>0.3</v>
      </c>
      <c r="CD157" t="s">
        <v>1007</v>
      </c>
      <c r="CE157" t="s">
        <v>1394</v>
      </c>
      <c r="CF157" t="s">
        <v>1218</v>
      </c>
    </row>
    <row r="158" spans="5:84" x14ac:dyDescent="0.25">
      <c r="BK158" s="74"/>
      <c r="BL158" s="74"/>
      <c r="BM158" s="75" t="s">
        <v>555</v>
      </c>
      <c r="BN158" s="75">
        <v>0.3</v>
      </c>
      <c r="BO158" s="77"/>
      <c r="BP158" s="77"/>
      <c r="BQ158" s="79" t="s">
        <v>555</v>
      </c>
      <c r="BR158" s="79">
        <v>0.3</v>
      </c>
      <c r="CD158" t="s">
        <v>1008</v>
      </c>
      <c r="CE158" t="s">
        <v>1474</v>
      </c>
      <c r="CF158" t="s">
        <v>1219</v>
      </c>
    </row>
    <row r="159" spans="5:84" x14ac:dyDescent="0.25">
      <c r="BK159" s="74"/>
      <c r="BL159" s="74"/>
      <c r="BM159" s="75" t="s">
        <v>557</v>
      </c>
      <c r="BN159" s="75">
        <v>0.35</v>
      </c>
      <c r="BO159" s="77"/>
      <c r="BP159" s="77"/>
      <c r="BQ159" s="79" t="s">
        <v>557</v>
      </c>
      <c r="BR159" s="79">
        <v>0.35</v>
      </c>
      <c r="CD159" t="s">
        <v>1009</v>
      </c>
      <c r="CE159" t="s">
        <v>1395</v>
      </c>
      <c r="CF159" t="s">
        <v>1220</v>
      </c>
    </row>
    <row r="160" spans="5:84" x14ac:dyDescent="0.25">
      <c r="BK160" s="74"/>
      <c r="BL160" s="74"/>
      <c r="BM160" s="75" t="s">
        <v>758</v>
      </c>
      <c r="BN160" s="75">
        <v>0.6</v>
      </c>
      <c r="BO160" s="77"/>
      <c r="BP160" s="77"/>
      <c r="BQ160" s="79" t="s">
        <v>758</v>
      </c>
      <c r="BR160" s="79">
        <v>0.6</v>
      </c>
      <c r="CD160" t="s">
        <v>1010</v>
      </c>
      <c r="CE160" t="s">
        <v>1396</v>
      </c>
      <c r="CF160" t="s">
        <v>1221</v>
      </c>
    </row>
    <row r="161" spans="63:84" x14ac:dyDescent="0.25">
      <c r="BK161" s="74"/>
      <c r="BL161" s="74"/>
      <c r="BM161" s="75" t="s">
        <v>559</v>
      </c>
      <c r="BN161" s="75">
        <v>0.2</v>
      </c>
      <c r="BO161" s="77"/>
      <c r="BP161" s="77"/>
      <c r="BQ161" s="79" t="s">
        <v>559</v>
      </c>
      <c r="BR161" s="79">
        <v>0.2</v>
      </c>
      <c r="CD161" t="s">
        <v>1011</v>
      </c>
      <c r="CE161" t="s">
        <v>1397</v>
      </c>
      <c r="CF161" t="s">
        <v>1222</v>
      </c>
    </row>
    <row r="162" spans="63:84" x14ac:dyDescent="0.25">
      <c r="BK162" s="74"/>
      <c r="BL162" s="74"/>
      <c r="BM162" s="75" t="s">
        <v>561</v>
      </c>
      <c r="BN162" s="75">
        <v>0.25</v>
      </c>
      <c r="BO162" s="77"/>
      <c r="BP162" s="77"/>
      <c r="BQ162" s="79" t="s">
        <v>561</v>
      </c>
      <c r="BR162" s="79">
        <v>0.25</v>
      </c>
      <c r="CD162" t="s">
        <v>1012</v>
      </c>
      <c r="CE162" t="s">
        <v>1398</v>
      </c>
      <c r="CF162" t="s">
        <v>1223</v>
      </c>
    </row>
    <row r="163" spans="63:84" x14ac:dyDescent="0.25">
      <c r="BK163" s="74"/>
      <c r="BL163" s="74"/>
      <c r="BM163" s="75" t="s">
        <v>563</v>
      </c>
      <c r="BN163" s="75">
        <v>0.3</v>
      </c>
      <c r="BO163" s="77"/>
      <c r="BP163" s="77"/>
      <c r="BQ163" s="79" t="s">
        <v>563</v>
      </c>
      <c r="BR163" s="79">
        <v>0.3</v>
      </c>
      <c r="CD163" t="s">
        <v>1013</v>
      </c>
      <c r="CE163" t="s">
        <v>1475</v>
      </c>
      <c r="CF163" t="s">
        <v>1224</v>
      </c>
    </row>
    <row r="164" spans="63:84" x14ac:dyDescent="0.25">
      <c r="BK164" s="74"/>
      <c r="BL164" s="74"/>
      <c r="BM164" s="75" t="s">
        <v>565</v>
      </c>
      <c r="BN164" s="75">
        <v>0.3</v>
      </c>
      <c r="BO164" s="77"/>
      <c r="BP164" s="77"/>
      <c r="BQ164" s="79" t="s">
        <v>565</v>
      </c>
      <c r="BR164" s="79">
        <v>0.3</v>
      </c>
      <c r="CD164" t="s">
        <v>1014</v>
      </c>
      <c r="CE164" t="s">
        <v>1399</v>
      </c>
      <c r="CF164" t="s">
        <v>1225</v>
      </c>
    </row>
    <row r="165" spans="63:84" x14ac:dyDescent="0.25">
      <c r="BK165" s="74"/>
      <c r="BL165" s="74"/>
      <c r="BM165" s="75" t="s">
        <v>1529</v>
      </c>
      <c r="BN165" s="75">
        <v>0.35</v>
      </c>
      <c r="BO165" s="77"/>
      <c r="BP165" s="77"/>
      <c r="BQ165" s="81" t="s">
        <v>1529</v>
      </c>
      <c r="BR165" s="79">
        <v>0.35</v>
      </c>
      <c r="CD165" t="s">
        <v>1015</v>
      </c>
      <c r="CE165" t="s">
        <v>1458</v>
      </c>
      <c r="CF165" t="s">
        <v>1226</v>
      </c>
    </row>
    <row r="166" spans="63:84" x14ac:dyDescent="0.25">
      <c r="BK166" s="74"/>
      <c r="BL166" s="74"/>
      <c r="BM166" s="75" t="s">
        <v>567</v>
      </c>
      <c r="BN166" s="75">
        <v>0.35</v>
      </c>
      <c r="BO166" s="77"/>
      <c r="BP166" s="77"/>
      <c r="BQ166" s="79" t="s">
        <v>567</v>
      </c>
      <c r="BR166" s="79">
        <v>0.35</v>
      </c>
      <c r="CD166" t="s">
        <v>1016</v>
      </c>
      <c r="CE166" t="s">
        <v>1459</v>
      </c>
      <c r="CF166" t="s">
        <v>1227</v>
      </c>
    </row>
    <row r="167" spans="63:84" x14ac:dyDescent="0.25">
      <c r="BK167" s="74"/>
      <c r="BL167" s="74"/>
      <c r="BM167" s="75" t="s">
        <v>760</v>
      </c>
      <c r="BN167" s="75">
        <v>0.4</v>
      </c>
      <c r="BO167" s="77"/>
      <c r="BP167" s="77"/>
      <c r="BQ167" s="79" t="s">
        <v>760</v>
      </c>
      <c r="BR167" s="79">
        <v>0.4</v>
      </c>
      <c r="CD167" t="s">
        <v>1017</v>
      </c>
      <c r="CE167" t="s">
        <v>1400</v>
      </c>
      <c r="CF167" t="s">
        <v>1228</v>
      </c>
    </row>
    <row r="168" spans="63:84" x14ac:dyDescent="0.25">
      <c r="BK168" s="74"/>
      <c r="BL168" s="74"/>
      <c r="BM168" s="75" t="s">
        <v>569</v>
      </c>
      <c r="BN168" s="75">
        <v>0.4</v>
      </c>
      <c r="BO168" s="77"/>
      <c r="BP168" s="77"/>
      <c r="BQ168" s="79" t="s">
        <v>569</v>
      </c>
      <c r="BR168" s="79">
        <v>0.4</v>
      </c>
      <c r="CD168" t="s">
        <v>1018</v>
      </c>
      <c r="CE168" t="s">
        <v>1401</v>
      </c>
      <c r="CF168" t="s">
        <v>1229</v>
      </c>
    </row>
    <row r="169" spans="63:84" x14ac:dyDescent="0.25">
      <c r="BK169" s="74"/>
      <c r="BL169" s="74"/>
      <c r="BM169" s="75" t="s">
        <v>571</v>
      </c>
      <c r="BN169" s="75">
        <v>0.45</v>
      </c>
      <c r="BO169" s="77"/>
      <c r="BP169" s="77"/>
      <c r="BQ169" s="79" t="s">
        <v>571</v>
      </c>
      <c r="BR169" s="79">
        <v>0.45</v>
      </c>
      <c r="CD169" t="s">
        <v>1019</v>
      </c>
      <c r="CE169" t="s">
        <v>1402</v>
      </c>
      <c r="CF169" t="s">
        <v>1230</v>
      </c>
    </row>
    <row r="170" spans="63:84" x14ac:dyDescent="0.25">
      <c r="BK170" s="74"/>
      <c r="BL170" s="74"/>
      <c r="BM170" s="75" t="s">
        <v>573</v>
      </c>
      <c r="BN170" s="75">
        <v>0.45</v>
      </c>
      <c r="BO170" s="77"/>
      <c r="BP170" s="77"/>
      <c r="BQ170" s="79" t="s">
        <v>573</v>
      </c>
      <c r="BR170" s="79">
        <v>0.45</v>
      </c>
      <c r="CD170" t="s">
        <v>1020</v>
      </c>
      <c r="CE170" t="s">
        <v>1460</v>
      </c>
      <c r="CF170" t="s">
        <v>1231</v>
      </c>
    </row>
    <row r="171" spans="63:84" x14ac:dyDescent="0.25">
      <c r="BK171" s="74"/>
      <c r="BL171" s="74"/>
      <c r="BM171" s="75" t="s">
        <v>575</v>
      </c>
      <c r="BN171" s="75">
        <v>0.45</v>
      </c>
      <c r="BO171" s="77"/>
      <c r="BP171" s="77"/>
      <c r="BQ171" s="79" t="s">
        <v>575</v>
      </c>
      <c r="BR171" s="79">
        <v>0.45</v>
      </c>
      <c r="CD171" t="s">
        <v>1021</v>
      </c>
      <c r="CE171" t="s">
        <v>1403</v>
      </c>
      <c r="CF171" t="s">
        <v>1232</v>
      </c>
    </row>
    <row r="172" spans="63:84" x14ac:dyDescent="0.25">
      <c r="BK172" s="74"/>
      <c r="BL172" s="74"/>
      <c r="BM172" s="75" t="s">
        <v>577</v>
      </c>
      <c r="BN172" s="75">
        <v>0.6</v>
      </c>
      <c r="BO172" s="77"/>
      <c r="BP172" s="77"/>
      <c r="BQ172" s="79" t="s">
        <v>577</v>
      </c>
      <c r="BR172" s="79">
        <v>0.6</v>
      </c>
      <c r="CD172" t="s">
        <v>1022</v>
      </c>
      <c r="CE172" t="s">
        <v>1461</v>
      </c>
      <c r="CF172" t="s">
        <v>1233</v>
      </c>
    </row>
    <row r="173" spans="63:84" x14ac:dyDescent="0.25">
      <c r="BK173" s="74"/>
      <c r="BL173" s="74"/>
      <c r="BM173" s="75" t="s">
        <v>579</v>
      </c>
      <c r="BN173" s="75">
        <v>1</v>
      </c>
      <c r="BO173" s="77"/>
      <c r="BP173" s="77"/>
      <c r="BQ173" s="79" t="s">
        <v>579</v>
      </c>
      <c r="BR173" s="79">
        <v>1</v>
      </c>
      <c r="CD173" t="s">
        <v>1023</v>
      </c>
      <c r="CE173" t="s">
        <v>1404</v>
      </c>
      <c r="CF173" t="s">
        <v>1234</v>
      </c>
    </row>
    <row r="174" spans="63:84" x14ac:dyDescent="0.25">
      <c r="BK174" s="74"/>
      <c r="BL174" s="74"/>
      <c r="BM174" s="75"/>
      <c r="BN174" s="75"/>
      <c r="BO174" s="77"/>
      <c r="BP174" s="77"/>
      <c r="BQ174" s="79"/>
      <c r="BR174" s="79"/>
      <c r="CD174" t="s">
        <v>1024</v>
      </c>
      <c r="CE174" t="s">
        <v>1405</v>
      </c>
      <c r="CF174" t="s">
        <v>1235</v>
      </c>
    </row>
    <row r="175" spans="63:84" x14ac:dyDescent="0.25">
      <c r="BK175" s="74"/>
      <c r="BL175" s="74"/>
      <c r="BM175" s="75"/>
      <c r="BN175" s="75"/>
      <c r="BO175" s="77"/>
      <c r="BP175" s="77"/>
      <c r="BQ175" s="79"/>
      <c r="BR175" s="79"/>
      <c r="CD175" t="s">
        <v>1025</v>
      </c>
      <c r="CE175" t="s">
        <v>1462</v>
      </c>
      <c r="CF175" t="s">
        <v>1236</v>
      </c>
    </row>
    <row r="176" spans="63:84" x14ac:dyDescent="0.25">
      <c r="BK176" s="74"/>
      <c r="BL176" s="74"/>
      <c r="BM176" s="75"/>
      <c r="BN176" s="75"/>
      <c r="BO176" s="77"/>
      <c r="BP176" s="77"/>
      <c r="BQ176" s="79"/>
      <c r="BR176" s="79"/>
      <c r="CD176" t="s">
        <v>1026</v>
      </c>
      <c r="CE176" t="s">
        <v>1406</v>
      </c>
      <c r="CF176" t="s">
        <v>1237</v>
      </c>
    </row>
    <row r="177" spans="63:84" x14ac:dyDescent="0.25">
      <c r="BK177" s="74"/>
      <c r="BL177" s="74"/>
      <c r="BM177" s="75" t="s">
        <v>762</v>
      </c>
      <c r="BN177" s="75">
        <v>0.05</v>
      </c>
      <c r="BO177" s="77"/>
      <c r="BP177" s="77"/>
      <c r="BQ177" s="79"/>
      <c r="BR177" s="79"/>
      <c r="CD177" t="s">
        <v>1027</v>
      </c>
      <c r="CE177" t="s">
        <v>1463</v>
      </c>
      <c r="CF177" t="s">
        <v>1238</v>
      </c>
    </row>
    <row r="178" spans="63:84" x14ac:dyDescent="0.25">
      <c r="BK178" s="74"/>
      <c r="BL178" s="74"/>
      <c r="BM178" s="75" t="s">
        <v>503</v>
      </c>
      <c r="BN178" s="75">
        <v>0.05</v>
      </c>
      <c r="BO178" s="77"/>
      <c r="BP178" s="77"/>
      <c r="BQ178" s="79"/>
      <c r="BR178" s="79"/>
      <c r="CD178" t="s">
        <v>1028</v>
      </c>
      <c r="CE178" t="s">
        <v>1407</v>
      </c>
      <c r="CF178" t="s">
        <v>1239</v>
      </c>
    </row>
    <row r="179" spans="63:84" x14ac:dyDescent="0.25">
      <c r="BK179" s="74"/>
      <c r="BL179" s="74"/>
      <c r="BM179" s="75" t="s">
        <v>505</v>
      </c>
      <c r="BN179" s="75">
        <v>0.1</v>
      </c>
      <c r="BO179" s="77"/>
      <c r="BP179" s="77"/>
      <c r="BQ179" s="79"/>
      <c r="BR179" s="79"/>
      <c r="CD179" t="s">
        <v>1029</v>
      </c>
      <c r="CE179" t="s">
        <v>1464</v>
      </c>
      <c r="CF179" t="s">
        <v>1240</v>
      </c>
    </row>
    <row r="180" spans="63:84" x14ac:dyDescent="0.25">
      <c r="BK180" s="74"/>
      <c r="BL180" s="74"/>
      <c r="BM180" s="75" t="s">
        <v>508</v>
      </c>
      <c r="BN180" s="75">
        <v>0.2</v>
      </c>
      <c r="BO180" s="77"/>
      <c r="BP180" s="77"/>
      <c r="BQ180" s="79"/>
      <c r="BR180" s="79"/>
      <c r="CD180" t="s">
        <v>1030</v>
      </c>
      <c r="CE180" t="s">
        <v>1465</v>
      </c>
      <c r="CF180" t="s">
        <v>1241</v>
      </c>
    </row>
    <row r="181" spans="63:84" x14ac:dyDescent="0.25">
      <c r="BK181" s="74"/>
      <c r="BL181" s="74"/>
      <c r="BM181" s="75" t="s">
        <v>509</v>
      </c>
      <c r="BN181" s="75">
        <v>0.3</v>
      </c>
      <c r="BO181" s="77"/>
      <c r="BP181" s="77"/>
      <c r="BQ181" s="79"/>
      <c r="BR181" s="79"/>
      <c r="CD181" t="s">
        <v>1031</v>
      </c>
      <c r="CE181" t="s">
        <v>1466</v>
      </c>
      <c r="CF181" t="s">
        <v>1242</v>
      </c>
    </row>
    <row r="182" spans="63:84" x14ac:dyDescent="0.25">
      <c r="BK182" s="74"/>
      <c r="BL182" s="74"/>
      <c r="BM182" s="75" t="s">
        <v>511</v>
      </c>
      <c r="BN182" s="75">
        <v>0.3</v>
      </c>
      <c r="BO182" s="77"/>
      <c r="BP182" s="77"/>
      <c r="BQ182" s="79"/>
      <c r="BR182" s="79"/>
      <c r="CD182" t="s">
        <v>1032</v>
      </c>
      <c r="CE182" t="s">
        <v>1408</v>
      </c>
      <c r="CF182" t="s">
        <v>1243</v>
      </c>
    </row>
    <row r="183" spans="63:84" x14ac:dyDescent="0.25">
      <c r="BK183" s="74"/>
      <c r="BL183" s="74"/>
      <c r="BM183" s="75" t="s">
        <v>513</v>
      </c>
      <c r="BN183" s="75">
        <v>0.4</v>
      </c>
      <c r="BO183" s="77"/>
      <c r="BP183" s="77"/>
      <c r="BQ183" s="79"/>
      <c r="BR183" s="79"/>
      <c r="CD183" t="s">
        <v>1033</v>
      </c>
      <c r="CE183" t="s">
        <v>1409</v>
      </c>
      <c r="CF183" t="s">
        <v>1244</v>
      </c>
    </row>
    <row r="184" spans="63:84" x14ac:dyDescent="0.25">
      <c r="BK184" s="74"/>
      <c r="BL184" s="74"/>
      <c r="BM184" s="75" t="s">
        <v>515</v>
      </c>
      <c r="BN184" s="75">
        <v>0.1</v>
      </c>
      <c r="BO184" s="77"/>
      <c r="BP184" s="77"/>
      <c r="BQ184" s="79"/>
      <c r="BR184" s="79"/>
      <c r="CD184" t="s">
        <v>1034</v>
      </c>
      <c r="CE184" t="s">
        <v>850</v>
      </c>
      <c r="CF184" t="s">
        <v>1245</v>
      </c>
    </row>
    <row r="185" spans="63:84" x14ac:dyDescent="0.25">
      <c r="BK185" s="74"/>
      <c r="BL185" s="74"/>
      <c r="BM185" s="75" t="s">
        <v>517</v>
      </c>
      <c r="BN185" s="75">
        <v>0.25</v>
      </c>
      <c r="BO185" s="77"/>
      <c r="BP185" s="77"/>
      <c r="BQ185" s="79"/>
      <c r="BR185" s="79"/>
      <c r="CD185" t="s">
        <v>1035</v>
      </c>
      <c r="CE185" t="s">
        <v>1410</v>
      </c>
      <c r="CF185" t="s">
        <v>1246</v>
      </c>
    </row>
    <row r="186" spans="63:84" x14ac:dyDescent="0.25">
      <c r="BK186" s="74"/>
      <c r="BL186" s="74"/>
      <c r="BM186" s="75" t="s">
        <v>519</v>
      </c>
      <c r="BN186" s="75">
        <v>0.3</v>
      </c>
      <c r="BO186" s="77"/>
      <c r="BP186" s="77"/>
      <c r="BQ186" s="79"/>
      <c r="BR186" s="79"/>
      <c r="CD186" t="s">
        <v>1036</v>
      </c>
      <c r="CE186" t="s">
        <v>1467</v>
      </c>
      <c r="CF186" t="s">
        <v>1247</v>
      </c>
    </row>
    <row r="187" spans="63:84" x14ac:dyDescent="0.25">
      <c r="BK187" s="74"/>
      <c r="BL187" s="74"/>
      <c r="BM187" s="75" t="s">
        <v>521</v>
      </c>
      <c r="BN187" s="75">
        <v>0.45</v>
      </c>
      <c r="BO187" s="77"/>
      <c r="BP187" s="77"/>
      <c r="BQ187" s="79"/>
      <c r="BR187" s="79"/>
      <c r="CD187" t="s">
        <v>1037</v>
      </c>
      <c r="CE187" t="s">
        <v>1411</v>
      </c>
      <c r="CF187" t="s">
        <v>1248</v>
      </c>
    </row>
    <row r="188" spans="63:84" x14ac:dyDescent="0.25">
      <c r="BK188" s="74"/>
      <c r="BL188" s="74"/>
      <c r="BM188" s="75" t="s">
        <v>523</v>
      </c>
      <c r="BN188" s="75">
        <v>0.4</v>
      </c>
      <c r="BO188" s="77"/>
      <c r="BP188" s="77"/>
      <c r="BQ188" s="79"/>
      <c r="BR188" s="79"/>
      <c r="CD188" t="s">
        <v>1038</v>
      </c>
      <c r="CE188" t="s">
        <v>1412</v>
      </c>
      <c r="CF188" t="s">
        <v>1249</v>
      </c>
    </row>
    <row r="189" spans="63:84" x14ac:dyDescent="0.25">
      <c r="BK189" s="74"/>
      <c r="BL189" s="74"/>
      <c r="BM189" s="75" t="s">
        <v>525</v>
      </c>
      <c r="BN189" s="75">
        <v>0.1</v>
      </c>
      <c r="BO189" s="77"/>
      <c r="BP189" s="77"/>
      <c r="BQ189" s="79"/>
      <c r="BR189" s="79"/>
      <c r="CD189" t="s">
        <v>1039</v>
      </c>
      <c r="CE189" t="s">
        <v>1413</v>
      </c>
      <c r="CF189" t="s">
        <v>1250</v>
      </c>
    </row>
    <row r="190" spans="63:84" x14ac:dyDescent="0.25">
      <c r="BK190" s="74"/>
      <c r="BL190" s="74"/>
      <c r="BM190" s="75" t="s">
        <v>527</v>
      </c>
      <c r="BN190" s="75">
        <v>0.1</v>
      </c>
      <c r="BO190" s="77"/>
      <c r="BP190" s="77"/>
      <c r="BQ190" s="79" t="s">
        <v>762</v>
      </c>
      <c r="BR190" s="79">
        <v>0.05</v>
      </c>
      <c r="CD190" t="s">
        <v>1040</v>
      </c>
      <c r="CE190" t="s">
        <v>1414</v>
      </c>
      <c r="CF190" t="s">
        <v>1251</v>
      </c>
    </row>
    <row r="191" spans="63:84" x14ac:dyDescent="0.25">
      <c r="BK191" s="74"/>
      <c r="BL191" s="74"/>
      <c r="BM191" s="75" t="s">
        <v>529</v>
      </c>
      <c r="BN191" s="75">
        <v>0.05</v>
      </c>
      <c r="BO191" s="77"/>
      <c r="BP191" s="77"/>
      <c r="BQ191" s="79" t="s">
        <v>503</v>
      </c>
      <c r="BR191" s="79">
        <v>0.05</v>
      </c>
      <c r="CD191" t="s">
        <v>1041</v>
      </c>
      <c r="CE191" t="s">
        <v>1415</v>
      </c>
      <c r="CF191" t="s">
        <v>1252</v>
      </c>
    </row>
    <row r="192" spans="63:84" x14ac:dyDescent="0.25">
      <c r="BK192" s="74"/>
      <c r="BL192" s="74"/>
      <c r="BM192" s="75" t="s">
        <v>531</v>
      </c>
      <c r="BN192" s="75">
        <v>0.1</v>
      </c>
      <c r="BO192" s="77"/>
      <c r="BP192" s="77"/>
      <c r="BQ192" s="79" t="s">
        <v>505</v>
      </c>
      <c r="BR192" s="79">
        <v>0.1</v>
      </c>
      <c r="CD192" t="s">
        <v>1042</v>
      </c>
      <c r="CE192" t="s">
        <v>1468</v>
      </c>
      <c r="CF192" t="s">
        <v>1253</v>
      </c>
    </row>
    <row r="193" spans="63:84" x14ac:dyDescent="0.25">
      <c r="BK193" s="74"/>
      <c r="BL193" s="74"/>
      <c r="BM193" s="75" t="s">
        <v>533</v>
      </c>
      <c r="BN193" s="75">
        <v>0.2</v>
      </c>
      <c r="BO193" s="77"/>
      <c r="BP193" s="77"/>
      <c r="BQ193" s="79" t="s">
        <v>508</v>
      </c>
      <c r="BR193" s="79">
        <v>0.2</v>
      </c>
      <c r="CD193" t="s">
        <v>1043</v>
      </c>
      <c r="CE193" t="s">
        <v>1416</v>
      </c>
      <c r="CF193" t="s">
        <v>1254</v>
      </c>
    </row>
    <row r="194" spans="63:84" x14ac:dyDescent="0.25">
      <c r="BK194" s="74"/>
      <c r="BL194" s="74"/>
      <c r="BM194" s="75" t="s">
        <v>763</v>
      </c>
      <c r="BN194" s="75">
        <v>0.2</v>
      </c>
      <c r="BO194" s="77"/>
      <c r="BP194" s="77"/>
      <c r="BQ194" s="79" t="s">
        <v>509</v>
      </c>
      <c r="BR194" s="79">
        <v>0.3</v>
      </c>
      <c r="CD194" t="s">
        <v>1044</v>
      </c>
      <c r="CE194" t="s">
        <v>1417</v>
      </c>
      <c r="CF194" t="s">
        <v>1255</v>
      </c>
    </row>
    <row r="195" spans="63:84" x14ac:dyDescent="0.25">
      <c r="BK195" s="74"/>
      <c r="BL195" s="74"/>
      <c r="BM195" s="75" t="s">
        <v>536</v>
      </c>
      <c r="BN195" s="75">
        <v>0.1</v>
      </c>
      <c r="BO195" s="77"/>
      <c r="BP195" s="77"/>
      <c r="BQ195" s="79" t="s">
        <v>511</v>
      </c>
      <c r="BR195" s="79">
        <v>0.3</v>
      </c>
      <c r="CD195" t="s">
        <v>1045</v>
      </c>
      <c r="CE195" t="s">
        <v>1418</v>
      </c>
      <c r="CF195" t="s">
        <v>1256</v>
      </c>
    </row>
    <row r="196" spans="63:84" x14ac:dyDescent="0.25">
      <c r="BK196" s="74"/>
      <c r="BL196" s="74"/>
      <c r="BM196" s="75" t="s">
        <v>538</v>
      </c>
      <c r="BN196" s="75">
        <v>0.2</v>
      </c>
      <c r="BO196" s="77"/>
      <c r="BP196" s="77"/>
      <c r="BQ196" s="79" t="s">
        <v>513</v>
      </c>
      <c r="BR196" s="79">
        <v>0.4</v>
      </c>
      <c r="CD196" t="s">
        <v>1046</v>
      </c>
      <c r="CE196" t="s">
        <v>1469</v>
      </c>
      <c r="CF196" t="s">
        <v>1257</v>
      </c>
    </row>
    <row r="197" spans="63:84" x14ac:dyDescent="0.25">
      <c r="BK197" s="74"/>
      <c r="BL197" s="74"/>
      <c r="BM197" s="75" t="s">
        <v>540</v>
      </c>
      <c r="BN197" s="75">
        <v>0.05</v>
      </c>
      <c r="BO197" s="77"/>
      <c r="BP197" s="77"/>
      <c r="BQ197" s="79" t="s">
        <v>515</v>
      </c>
      <c r="BR197" s="79">
        <v>0.1</v>
      </c>
      <c r="CD197" t="s">
        <v>1047</v>
      </c>
      <c r="CE197" t="s">
        <v>1419</v>
      </c>
      <c r="CF197" t="s">
        <v>1258</v>
      </c>
    </row>
    <row r="198" spans="63:84" x14ac:dyDescent="0.25">
      <c r="BK198" s="74"/>
      <c r="BL198" s="74"/>
      <c r="BM198" s="75" t="s">
        <v>542</v>
      </c>
      <c r="BN198" s="75">
        <v>0.05</v>
      </c>
      <c r="BO198" s="77"/>
      <c r="BP198" s="77"/>
      <c r="BQ198" s="79" t="s">
        <v>517</v>
      </c>
      <c r="BR198" s="79">
        <v>0.25</v>
      </c>
      <c r="CD198" t="s">
        <v>1048</v>
      </c>
      <c r="CE198" t="s">
        <v>1420</v>
      </c>
      <c r="CF198" t="s">
        <v>1259</v>
      </c>
    </row>
    <row r="199" spans="63:84" x14ac:dyDescent="0.25">
      <c r="BK199" s="74"/>
      <c r="BL199" s="74"/>
      <c r="BM199" s="75" t="s">
        <v>544</v>
      </c>
      <c r="BN199" s="75">
        <v>0.05</v>
      </c>
      <c r="BO199" s="77"/>
      <c r="BP199" s="77"/>
      <c r="BQ199" s="79" t="s">
        <v>519</v>
      </c>
      <c r="BR199" s="79">
        <v>0.3</v>
      </c>
      <c r="CD199" t="s">
        <v>1049</v>
      </c>
      <c r="CE199" t="s">
        <v>1470</v>
      </c>
      <c r="CF199" t="s">
        <v>1260</v>
      </c>
    </row>
    <row r="200" spans="63:84" x14ac:dyDescent="0.25">
      <c r="BK200" s="74"/>
      <c r="BL200" s="74"/>
      <c r="BM200" s="75" t="s">
        <v>546</v>
      </c>
      <c r="BN200" s="75">
        <v>0.05</v>
      </c>
      <c r="BO200" s="77"/>
      <c r="BP200" s="77"/>
      <c r="BQ200" s="79" t="s">
        <v>521</v>
      </c>
      <c r="BR200" s="79">
        <v>0.45</v>
      </c>
      <c r="CD200" t="s">
        <v>1050</v>
      </c>
      <c r="CE200" t="s">
        <v>1471</v>
      </c>
      <c r="CF200" t="s">
        <v>1261</v>
      </c>
    </row>
    <row r="201" spans="63:84" x14ac:dyDescent="0.25">
      <c r="BK201" s="74"/>
      <c r="BL201" s="74"/>
      <c r="BM201" s="75" t="s">
        <v>548</v>
      </c>
      <c r="BN201" s="75">
        <v>0.1</v>
      </c>
      <c r="BO201" s="77"/>
      <c r="BP201" s="77"/>
      <c r="BQ201" s="79" t="s">
        <v>523</v>
      </c>
      <c r="BR201" s="79">
        <v>0.4</v>
      </c>
      <c r="CD201" t="s">
        <v>1051</v>
      </c>
      <c r="CE201" t="s">
        <v>1421</v>
      </c>
      <c r="CF201" t="s">
        <v>1262</v>
      </c>
    </row>
    <row r="202" spans="63:84" x14ac:dyDescent="0.25">
      <c r="BK202" s="74"/>
      <c r="BL202" s="74"/>
      <c r="BM202" s="75" t="s">
        <v>550</v>
      </c>
      <c r="BN202" s="75">
        <v>0.1</v>
      </c>
      <c r="BO202" s="77"/>
      <c r="BP202" s="77"/>
      <c r="BQ202" s="79" t="s">
        <v>525</v>
      </c>
      <c r="BR202" s="79">
        <v>0.1</v>
      </c>
      <c r="CD202" t="s">
        <v>1052</v>
      </c>
      <c r="CE202" t="s">
        <v>1422</v>
      </c>
      <c r="CF202" t="s">
        <v>1263</v>
      </c>
    </row>
    <row r="203" spans="63:84" x14ac:dyDescent="0.25">
      <c r="BK203" s="74"/>
      <c r="BL203" s="74"/>
      <c r="BM203" s="75" t="s">
        <v>552</v>
      </c>
      <c r="BN203" s="75">
        <v>0.1</v>
      </c>
      <c r="BO203" s="77"/>
      <c r="BP203" s="77"/>
      <c r="BQ203" s="79" t="s">
        <v>527</v>
      </c>
      <c r="BR203" s="79">
        <v>0.1</v>
      </c>
      <c r="CD203" t="s">
        <v>1053</v>
      </c>
      <c r="CE203" t="s">
        <v>1423</v>
      </c>
      <c r="CF203" t="s">
        <v>1264</v>
      </c>
    </row>
    <row r="204" spans="63:84" x14ac:dyDescent="0.25">
      <c r="BK204" s="74"/>
      <c r="BL204" s="74"/>
      <c r="BM204" s="75" t="s">
        <v>554</v>
      </c>
      <c r="BN204" s="75">
        <v>0.05</v>
      </c>
      <c r="BO204" s="77"/>
      <c r="BP204" s="77"/>
      <c r="BQ204" s="79" t="s">
        <v>529</v>
      </c>
      <c r="BR204" s="79">
        <v>0.05</v>
      </c>
      <c r="CD204" t="s">
        <v>1054</v>
      </c>
      <c r="CE204" t="s">
        <v>1424</v>
      </c>
      <c r="CF204" t="s">
        <v>1265</v>
      </c>
    </row>
    <row r="205" spans="63:84" x14ac:dyDescent="0.25">
      <c r="BK205" s="74"/>
      <c r="BL205" s="74"/>
      <c r="BM205" s="75" t="s">
        <v>556</v>
      </c>
      <c r="BN205" s="75">
        <v>0.1</v>
      </c>
      <c r="BO205" s="77"/>
      <c r="BP205" s="77"/>
      <c r="BQ205" s="79" t="s">
        <v>531</v>
      </c>
      <c r="BR205" s="79">
        <v>0.1</v>
      </c>
      <c r="CD205" t="s">
        <v>1055</v>
      </c>
      <c r="CE205" t="s">
        <v>1425</v>
      </c>
      <c r="CF205" t="s">
        <v>1266</v>
      </c>
    </row>
    <row r="206" spans="63:84" x14ac:dyDescent="0.25">
      <c r="BK206" s="74"/>
      <c r="BL206" s="74"/>
      <c r="BM206" s="75" t="s">
        <v>558</v>
      </c>
      <c r="BN206" s="75">
        <v>0.1</v>
      </c>
      <c r="BO206" s="77"/>
      <c r="BP206" s="77"/>
      <c r="BQ206" s="79" t="s">
        <v>533</v>
      </c>
      <c r="BR206" s="79">
        <v>0.2</v>
      </c>
      <c r="CD206" t="s">
        <v>1056</v>
      </c>
      <c r="CE206" t="s">
        <v>1476</v>
      </c>
      <c r="CF206" t="s">
        <v>1267</v>
      </c>
    </row>
    <row r="207" spans="63:84" x14ac:dyDescent="0.25">
      <c r="BK207" s="74"/>
      <c r="BL207" s="74"/>
      <c r="BM207" s="75" t="s">
        <v>759</v>
      </c>
      <c r="BN207" s="75">
        <v>0.45</v>
      </c>
      <c r="BO207" s="77"/>
      <c r="BP207" s="77"/>
      <c r="BQ207" s="79" t="s">
        <v>763</v>
      </c>
      <c r="BR207" s="79">
        <v>0.2</v>
      </c>
      <c r="CD207" t="s">
        <v>1057</v>
      </c>
      <c r="CE207" t="s">
        <v>1426</v>
      </c>
      <c r="CF207" t="s">
        <v>1268</v>
      </c>
    </row>
    <row r="208" spans="63:84" x14ac:dyDescent="0.25">
      <c r="BK208" s="74"/>
      <c r="BL208" s="74"/>
      <c r="BM208" s="75" t="s">
        <v>560</v>
      </c>
      <c r="BN208" s="75">
        <v>0.05</v>
      </c>
      <c r="BO208" s="77"/>
      <c r="BP208" s="77"/>
      <c r="BQ208" s="79" t="s">
        <v>536</v>
      </c>
      <c r="BR208" s="79">
        <v>0.1</v>
      </c>
      <c r="CD208" t="s">
        <v>1058</v>
      </c>
      <c r="CE208" t="s">
        <v>1427</v>
      </c>
      <c r="CF208" t="s">
        <v>1269</v>
      </c>
    </row>
    <row r="209" spans="63:84" x14ac:dyDescent="0.25">
      <c r="BK209" s="74"/>
      <c r="BL209" s="74"/>
      <c r="BM209" s="75" t="s">
        <v>562</v>
      </c>
      <c r="BN209" s="75">
        <v>0.15</v>
      </c>
      <c r="BO209" s="77"/>
      <c r="BP209" s="77"/>
      <c r="BQ209" s="79" t="s">
        <v>538</v>
      </c>
      <c r="BR209" s="79">
        <v>0.2</v>
      </c>
      <c r="CD209" t="s">
        <v>1059</v>
      </c>
      <c r="CE209" t="s">
        <v>1428</v>
      </c>
      <c r="CF209" t="s">
        <v>1270</v>
      </c>
    </row>
    <row r="210" spans="63:84" x14ac:dyDescent="0.25">
      <c r="BK210" s="74"/>
      <c r="BL210" s="74"/>
      <c r="BM210" s="75" t="s">
        <v>564</v>
      </c>
      <c r="BN210" s="75">
        <v>0.1</v>
      </c>
      <c r="BO210" s="77"/>
      <c r="BP210" s="77"/>
      <c r="BQ210" s="79" t="s">
        <v>540</v>
      </c>
      <c r="BR210" s="79">
        <v>0.05</v>
      </c>
    </row>
    <row r="211" spans="63:84" x14ac:dyDescent="0.25">
      <c r="BK211" s="74"/>
      <c r="BL211" s="74"/>
      <c r="BM211" s="75" t="s">
        <v>566</v>
      </c>
      <c r="BN211" s="75">
        <v>0.1</v>
      </c>
      <c r="BO211" s="77"/>
      <c r="BP211" s="77"/>
      <c r="BQ211" s="79" t="s">
        <v>542</v>
      </c>
      <c r="BR211" s="79">
        <v>0.05</v>
      </c>
    </row>
    <row r="212" spans="63:84" x14ac:dyDescent="0.25">
      <c r="BK212" s="74"/>
      <c r="BL212" s="74"/>
      <c r="BM212" s="75" t="s">
        <v>1490</v>
      </c>
      <c r="BN212" s="75">
        <v>0.2</v>
      </c>
      <c r="BO212" s="77"/>
      <c r="BP212" s="77"/>
      <c r="BQ212" s="79" t="s">
        <v>544</v>
      </c>
      <c r="BR212" s="79">
        <v>0.05</v>
      </c>
    </row>
    <row r="213" spans="63:84" x14ac:dyDescent="0.25">
      <c r="BK213" s="74"/>
      <c r="BL213" s="74"/>
      <c r="BM213" s="75" t="s">
        <v>568</v>
      </c>
      <c r="BN213" s="75">
        <v>0.15</v>
      </c>
      <c r="BO213" s="77"/>
      <c r="BP213" s="77"/>
      <c r="BQ213" s="79" t="s">
        <v>546</v>
      </c>
      <c r="BR213" s="79">
        <v>0.05</v>
      </c>
    </row>
    <row r="214" spans="63:84" x14ac:dyDescent="0.25">
      <c r="BK214" s="74"/>
      <c r="BL214" s="74"/>
      <c r="BM214" s="75" t="s">
        <v>761</v>
      </c>
      <c r="BN214" s="75">
        <v>0.15</v>
      </c>
      <c r="BO214" s="77"/>
      <c r="BP214" s="77"/>
      <c r="BQ214" s="79" t="s">
        <v>548</v>
      </c>
      <c r="BR214" s="79">
        <v>0.1</v>
      </c>
    </row>
    <row r="215" spans="63:84" x14ac:dyDescent="0.25">
      <c r="BK215" s="74"/>
      <c r="BL215" s="74"/>
      <c r="BM215" s="75" t="s">
        <v>570</v>
      </c>
      <c r="BN215" s="75">
        <v>0.2</v>
      </c>
      <c r="BO215" s="77"/>
      <c r="BP215" s="77"/>
      <c r="BQ215" s="79" t="s">
        <v>550</v>
      </c>
      <c r="BR215" s="79">
        <v>0.1</v>
      </c>
    </row>
    <row r="216" spans="63:84" x14ac:dyDescent="0.25">
      <c r="BK216" s="74"/>
      <c r="BL216" s="74"/>
      <c r="BM216" s="75" t="s">
        <v>572</v>
      </c>
      <c r="BN216" s="75">
        <v>0.15</v>
      </c>
      <c r="BO216" s="77"/>
      <c r="BP216" s="77"/>
      <c r="BQ216" s="79" t="s">
        <v>552</v>
      </c>
      <c r="BR216" s="79">
        <v>0.1</v>
      </c>
    </row>
    <row r="217" spans="63:84" x14ac:dyDescent="0.25">
      <c r="BK217" s="74"/>
      <c r="BL217" s="74"/>
      <c r="BM217" s="75" t="s">
        <v>574</v>
      </c>
      <c r="BN217" s="75">
        <v>0.2</v>
      </c>
      <c r="BO217" s="77"/>
      <c r="BP217" s="77"/>
      <c r="BQ217" s="79" t="s">
        <v>554</v>
      </c>
      <c r="BR217" s="79">
        <v>0.05</v>
      </c>
    </row>
    <row r="218" spans="63:84" x14ac:dyDescent="0.25">
      <c r="BK218" s="74"/>
      <c r="BL218" s="74"/>
      <c r="BM218" s="75" t="s">
        <v>576</v>
      </c>
      <c r="BN218" s="75">
        <v>0.2</v>
      </c>
      <c r="BO218" s="77"/>
      <c r="BP218" s="77"/>
      <c r="BQ218" s="79" t="s">
        <v>556</v>
      </c>
      <c r="BR218" s="79">
        <v>0.1</v>
      </c>
    </row>
    <row r="219" spans="63:84" x14ac:dyDescent="0.25">
      <c r="BK219" s="74"/>
      <c r="BL219" s="74"/>
      <c r="BM219" s="75" t="s">
        <v>578</v>
      </c>
      <c r="BN219" s="75">
        <v>0.3</v>
      </c>
      <c r="BO219" s="77"/>
      <c r="BP219" s="77"/>
      <c r="BQ219" s="79" t="s">
        <v>558</v>
      </c>
      <c r="BR219" s="79">
        <v>0.1</v>
      </c>
    </row>
    <row r="220" spans="63:84" x14ac:dyDescent="0.25">
      <c r="BK220" s="74"/>
      <c r="BL220" s="74"/>
      <c r="BM220" s="75" t="s">
        <v>580</v>
      </c>
      <c r="BN220" s="75">
        <v>0.5</v>
      </c>
      <c r="BO220" s="77"/>
      <c r="BP220" s="77"/>
      <c r="BQ220" s="79" t="s">
        <v>759</v>
      </c>
      <c r="BR220" s="79">
        <v>0.45</v>
      </c>
    </row>
    <row r="221" spans="63:84" x14ac:dyDescent="0.25">
      <c r="BK221" s="74"/>
      <c r="BL221" s="74"/>
      <c r="BM221" s="75"/>
      <c r="BN221" s="75"/>
      <c r="BO221" s="77"/>
      <c r="BP221" s="77"/>
      <c r="BQ221" s="79" t="s">
        <v>560</v>
      </c>
      <c r="BR221" s="79">
        <v>0.05</v>
      </c>
    </row>
    <row r="222" spans="63:84" x14ac:dyDescent="0.25">
      <c r="BK222" s="74"/>
      <c r="BL222" s="74"/>
      <c r="BM222" s="75"/>
      <c r="BN222" s="75"/>
      <c r="BO222" s="77"/>
      <c r="BP222" s="77"/>
      <c r="BQ222" s="79" t="s">
        <v>562</v>
      </c>
      <c r="BR222" s="79">
        <v>0.15</v>
      </c>
    </row>
    <row r="223" spans="63:84" x14ac:dyDescent="0.25">
      <c r="BK223" s="74"/>
      <c r="BL223" s="74"/>
      <c r="BM223" s="75"/>
      <c r="BN223" s="75"/>
      <c r="BO223" s="77"/>
      <c r="BP223" s="77"/>
      <c r="BQ223" s="79" t="s">
        <v>564</v>
      </c>
      <c r="BR223" s="79">
        <v>0.1</v>
      </c>
    </row>
    <row r="224" spans="63:84" x14ac:dyDescent="0.25">
      <c r="BK224" s="74"/>
      <c r="BL224" s="74"/>
      <c r="BM224" s="75"/>
      <c r="BN224" s="75"/>
      <c r="BO224" s="77"/>
      <c r="BP224" s="77"/>
      <c r="BQ224" s="79" t="s">
        <v>566</v>
      </c>
      <c r="BR224" s="79">
        <v>0.1</v>
      </c>
    </row>
    <row r="225" spans="63:70" x14ac:dyDescent="0.25">
      <c r="BK225" s="74"/>
      <c r="BL225" s="74"/>
      <c r="BM225" s="75"/>
      <c r="BN225" s="75"/>
      <c r="BO225" s="77"/>
      <c r="BP225" s="77"/>
      <c r="BQ225" s="79" t="s">
        <v>1490</v>
      </c>
      <c r="BR225" s="79">
        <v>0.2</v>
      </c>
    </row>
    <row r="226" spans="63:70" x14ac:dyDescent="0.25">
      <c r="BK226" s="74"/>
      <c r="BL226" s="74"/>
      <c r="BM226" s="75"/>
      <c r="BN226" s="75"/>
      <c r="BO226" s="77"/>
      <c r="BP226" s="77"/>
      <c r="BQ226" s="79" t="s">
        <v>568</v>
      </c>
      <c r="BR226" s="79">
        <v>0.15</v>
      </c>
    </row>
    <row r="227" spans="63:70" x14ac:dyDescent="0.25">
      <c r="BK227" s="74"/>
      <c r="BL227" s="74"/>
      <c r="BM227" s="75"/>
      <c r="BN227" s="75"/>
      <c r="BO227" s="77"/>
      <c r="BP227" s="77"/>
      <c r="BQ227" s="79" t="s">
        <v>761</v>
      </c>
      <c r="BR227" s="79">
        <v>0.15</v>
      </c>
    </row>
    <row r="228" spans="63:70" x14ac:dyDescent="0.25">
      <c r="BK228" s="74"/>
      <c r="BL228" s="74"/>
      <c r="BM228" s="75"/>
      <c r="BN228" s="75"/>
      <c r="BO228" s="77"/>
      <c r="BP228" s="77"/>
      <c r="BQ228" s="79" t="s">
        <v>570</v>
      </c>
      <c r="BR228" s="79">
        <v>0.2</v>
      </c>
    </row>
    <row r="229" spans="63:70" x14ac:dyDescent="0.25">
      <c r="BK229" s="74"/>
      <c r="BL229" s="74"/>
      <c r="BM229" s="75"/>
      <c r="BN229" s="75"/>
      <c r="BO229" s="77"/>
      <c r="BP229" s="77"/>
      <c r="BQ229" s="79" t="s">
        <v>572</v>
      </c>
      <c r="BR229" s="79">
        <v>0.15</v>
      </c>
    </row>
    <row r="230" spans="63:70" x14ac:dyDescent="0.25">
      <c r="BK230" s="74"/>
      <c r="BL230" s="74"/>
      <c r="BM230" s="75"/>
      <c r="BN230" s="75"/>
      <c r="BO230" s="77"/>
      <c r="BP230" s="77"/>
      <c r="BQ230" s="79" t="s">
        <v>574</v>
      </c>
      <c r="BR230" s="79">
        <v>0.2</v>
      </c>
    </row>
    <row r="231" spans="63:70" x14ac:dyDescent="0.25">
      <c r="BK231" s="74"/>
      <c r="BL231" s="74"/>
      <c r="BM231" s="75"/>
      <c r="BN231" s="75"/>
      <c r="BO231" s="77"/>
      <c r="BP231" s="77"/>
      <c r="BQ231" s="79" t="s">
        <v>576</v>
      </c>
      <c r="BR231" s="79">
        <v>0.2</v>
      </c>
    </row>
    <row r="232" spans="63:70" x14ac:dyDescent="0.25">
      <c r="BK232" s="74"/>
      <c r="BL232" s="74"/>
      <c r="BM232" s="75"/>
      <c r="BN232" s="75"/>
      <c r="BO232" s="77"/>
      <c r="BP232" s="77"/>
      <c r="BQ232" s="79" t="s">
        <v>578</v>
      </c>
      <c r="BR232" s="79">
        <v>0.3</v>
      </c>
    </row>
    <row r="233" spans="63:70" x14ac:dyDescent="0.25">
      <c r="BK233" s="74"/>
      <c r="BL233" s="74"/>
      <c r="BM233" s="75"/>
      <c r="BN233" s="75"/>
      <c r="BO233" s="77"/>
      <c r="BP233" s="77"/>
      <c r="BQ233" s="79" t="s">
        <v>580</v>
      </c>
      <c r="BR233" s="79">
        <v>0.5</v>
      </c>
    </row>
    <row r="234" spans="63:70" x14ac:dyDescent="0.25">
      <c r="BK234" s="74"/>
      <c r="BL234" s="74"/>
      <c r="BM234" s="75"/>
      <c r="BN234" s="75"/>
      <c r="BO234" s="77"/>
      <c r="BP234" s="77"/>
      <c r="BQ234" s="79"/>
      <c r="BR234" s="79"/>
    </row>
    <row r="235" spans="63:70" x14ac:dyDescent="0.25">
      <c r="BK235" s="74"/>
      <c r="BL235" s="74"/>
      <c r="BM235" s="75"/>
      <c r="BN235" s="75"/>
      <c r="BO235" s="77"/>
      <c r="BP235" s="77"/>
      <c r="BQ235" s="79"/>
      <c r="BR235" s="79"/>
    </row>
    <row r="236" spans="63:70" x14ac:dyDescent="0.25">
      <c r="BK236" s="74"/>
      <c r="BL236" s="74"/>
      <c r="BM236" s="75"/>
      <c r="BN236" s="75"/>
      <c r="BO236" s="77"/>
      <c r="BP236" s="77"/>
      <c r="BQ236" s="79"/>
      <c r="BR236" s="79"/>
    </row>
    <row r="237" spans="63:70" x14ac:dyDescent="0.25">
      <c r="BK237" s="74"/>
      <c r="BL237" s="74"/>
      <c r="BM237" s="75"/>
      <c r="BN237" s="75"/>
      <c r="BO237" s="77"/>
      <c r="BP237" s="77"/>
      <c r="BQ237" s="79"/>
      <c r="BR237" s="79"/>
    </row>
    <row r="238" spans="63:70" x14ac:dyDescent="0.25">
      <c r="BK238" s="74"/>
      <c r="BL238" s="74"/>
      <c r="BM238" s="75"/>
      <c r="BN238" s="75"/>
      <c r="BO238" s="77"/>
      <c r="BP238" s="77"/>
      <c r="BQ238" s="79"/>
      <c r="BR238" s="79"/>
    </row>
    <row r="239" spans="63:70" x14ac:dyDescent="0.25">
      <c r="BK239" s="74"/>
      <c r="BL239" s="74"/>
      <c r="BM239" s="75"/>
      <c r="BN239" s="75"/>
      <c r="BO239" s="77"/>
      <c r="BP239" s="77"/>
      <c r="BQ239" s="79"/>
      <c r="BR239" s="79"/>
    </row>
    <row r="240" spans="63:70" x14ac:dyDescent="0.25">
      <c r="BK240" s="74"/>
      <c r="BL240" s="74"/>
      <c r="BM240" s="75"/>
      <c r="BN240" s="75"/>
      <c r="BO240" s="77"/>
      <c r="BP240" s="77"/>
      <c r="BQ240" s="79"/>
      <c r="BR240" s="79"/>
    </row>
    <row r="241" spans="62:70" x14ac:dyDescent="0.25">
      <c r="BK241" s="74"/>
      <c r="BL241" s="74"/>
      <c r="BM241" s="75"/>
      <c r="BN241" s="75"/>
      <c r="BO241" s="77"/>
      <c r="BP241" s="77"/>
      <c r="BQ241" s="79"/>
      <c r="BR241" s="79"/>
    </row>
    <row r="242" spans="62:70" x14ac:dyDescent="0.25">
      <c r="BK242" s="74"/>
      <c r="BL242" s="74"/>
      <c r="BM242" s="75"/>
      <c r="BN242" s="75"/>
      <c r="BO242" s="77"/>
      <c r="BP242" s="77"/>
      <c r="BQ242" s="79"/>
      <c r="BR242" s="79"/>
    </row>
    <row r="243" spans="62:70" x14ac:dyDescent="0.25">
      <c r="BK243" s="74"/>
      <c r="BL243" s="74"/>
      <c r="BM243" s="75"/>
      <c r="BN243" s="75"/>
      <c r="BO243" s="77"/>
      <c r="BP243" s="77"/>
      <c r="BQ243" s="79"/>
      <c r="BR243" s="79"/>
    </row>
    <row r="244" spans="62:70" x14ac:dyDescent="0.25">
      <c r="BK244" s="74"/>
      <c r="BL244" s="74"/>
      <c r="BM244" s="75"/>
      <c r="BN244" s="75"/>
      <c r="BO244" s="77"/>
      <c r="BP244" s="77"/>
      <c r="BQ244" s="79"/>
      <c r="BR244" s="79"/>
    </row>
    <row r="245" spans="62:70" x14ac:dyDescent="0.25">
      <c r="BK245" s="74"/>
      <c r="BL245" s="74"/>
      <c r="BM245" s="75"/>
      <c r="BN245" s="75"/>
      <c r="BO245" s="77"/>
      <c r="BP245" s="77"/>
      <c r="BQ245" s="79"/>
      <c r="BR245" s="79"/>
    </row>
    <row r="246" spans="62:70" x14ac:dyDescent="0.25">
      <c r="BK246" s="74"/>
      <c r="BL246" s="74"/>
      <c r="BM246" s="75"/>
      <c r="BN246" s="75"/>
      <c r="BO246" s="77"/>
      <c r="BP246" s="77"/>
      <c r="BQ246" s="79"/>
      <c r="BR246" s="79"/>
    </row>
    <row r="247" spans="62:70" x14ac:dyDescent="0.25">
      <c r="BK247" s="74"/>
      <c r="BL247" s="74"/>
      <c r="BM247" s="75"/>
      <c r="BN247" s="75"/>
      <c r="BO247" s="77"/>
      <c r="BP247" s="77"/>
      <c r="BQ247" s="79"/>
      <c r="BR247" s="79"/>
    </row>
    <row r="248" spans="62:70" x14ac:dyDescent="0.25">
      <c r="BK248" s="74"/>
      <c r="BL248" s="74"/>
      <c r="BM248" s="75"/>
      <c r="BN248" s="75"/>
      <c r="BO248" s="77"/>
      <c r="BP248" s="77"/>
      <c r="BQ248" s="79"/>
      <c r="BR248" s="79"/>
    </row>
    <row r="249" spans="62:70" x14ac:dyDescent="0.25">
      <c r="BK249" s="74"/>
      <c r="BL249" s="74"/>
      <c r="BM249" s="75"/>
      <c r="BN249" s="75"/>
      <c r="BO249" s="77"/>
      <c r="BP249" s="77"/>
      <c r="BQ249" s="79"/>
      <c r="BR249" s="79"/>
    </row>
    <row r="250" spans="62:70" x14ac:dyDescent="0.25">
      <c r="BJ250" s="8">
        <v>6</v>
      </c>
      <c r="BK250" s="74"/>
      <c r="BL250" s="74"/>
      <c r="BM250" s="75" t="s">
        <v>737</v>
      </c>
      <c r="BN250" s="75">
        <v>0.3</v>
      </c>
      <c r="BO250" s="77" t="s">
        <v>661</v>
      </c>
      <c r="BP250" s="77">
        <v>0.2</v>
      </c>
      <c r="BQ250" s="79" t="s">
        <v>705</v>
      </c>
      <c r="BR250" s="79">
        <v>0.2</v>
      </c>
    </row>
    <row r="251" spans="62:70" x14ac:dyDescent="0.25">
      <c r="BK251" s="74"/>
      <c r="BL251" s="74"/>
      <c r="BM251" s="75" t="s">
        <v>661</v>
      </c>
      <c r="BN251" s="75">
        <v>0.2</v>
      </c>
      <c r="BO251" s="77" t="s">
        <v>664</v>
      </c>
      <c r="BP251" s="77">
        <v>0.3</v>
      </c>
      <c r="BQ251" s="79" t="s">
        <v>706</v>
      </c>
      <c r="BR251" s="79">
        <v>0.05</v>
      </c>
    </row>
    <row r="252" spans="62:70" x14ac:dyDescent="0.25">
      <c r="BK252" s="74"/>
      <c r="BL252" s="74"/>
      <c r="BM252" s="75" t="s">
        <v>662</v>
      </c>
      <c r="BN252" s="75">
        <v>0.25</v>
      </c>
      <c r="BO252" s="77" t="s">
        <v>666</v>
      </c>
      <c r="BP252" s="77">
        <v>0.3</v>
      </c>
      <c r="BQ252" s="79" t="s">
        <v>707</v>
      </c>
      <c r="BR252" s="79">
        <v>0.3</v>
      </c>
    </row>
    <row r="253" spans="62:70" x14ac:dyDescent="0.25">
      <c r="BK253" s="74"/>
      <c r="BL253" s="74"/>
      <c r="BM253" s="75" t="s">
        <v>663</v>
      </c>
      <c r="BN253" s="75">
        <v>0.05</v>
      </c>
      <c r="BO253" s="77" t="s">
        <v>668</v>
      </c>
      <c r="BP253" s="77">
        <v>0.5</v>
      </c>
      <c r="BQ253" s="79" t="s">
        <v>662</v>
      </c>
      <c r="BR253" s="79">
        <v>0.3</v>
      </c>
    </row>
    <row r="254" spans="62:70" x14ac:dyDescent="0.25">
      <c r="BK254" s="74"/>
      <c r="BL254" s="74"/>
      <c r="BM254" s="75" t="s">
        <v>664</v>
      </c>
      <c r="BN254" s="75">
        <v>0.3</v>
      </c>
      <c r="BO254" s="77" t="s">
        <v>670</v>
      </c>
      <c r="BP254" s="77">
        <v>0.4</v>
      </c>
      <c r="BQ254" s="79" t="s">
        <v>1531</v>
      </c>
      <c r="BR254" s="79">
        <v>0.1</v>
      </c>
    </row>
    <row r="255" spans="62:70" x14ac:dyDescent="0.25">
      <c r="BK255" s="74"/>
      <c r="BL255" s="74"/>
      <c r="BM255" s="75" t="s">
        <v>665</v>
      </c>
      <c r="BN255" s="75">
        <v>0.4</v>
      </c>
      <c r="BO255" s="77" t="s">
        <v>672</v>
      </c>
      <c r="BP255" s="77">
        <v>0.7</v>
      </c>
      <c r="BQ255" s="79" t="s">
        <v>708</v>
      </c>
      <c r="BR255" s="79">
        <v>0.15</v>
      </c>
    </row>
    <row r="256" spans="62:70" x14ac:dyDescent="0.25">
      <c r="BK256" s="74"/>
      <c r="BL256" s="74"/>
      <c r="BM256" s="75" t="s">
        <v>666</v>
      </c>
      <c r="BN256" s="75">
        <v>0.3</v>
      </c>
      <c r="BO256" s="77"/>
      <c r="BP256" s="77"/>
      <c r="BQ256" s="79" t="s">
        <v>709</v>
      </c>
      <c r="BR256" s="79">
        <v>0.4</v>
      </c>
    </row>
    <row r="257" spans="62:70" x14ac:dyDescent="0.25">
      <c r="BK257" s="74"/>
      <c r="BL257" s="74"/>
      <c r="BM257" s="75" t="s">
        <v>125</v>
      </c>
      <c r="BN257" s="75">
        <v>0.35</v>
      </c>
      <c r="BO257" s="77"/>
      <c r="BP257" s="77"/>
      <c r="BQ257" s="79" t="s">
        <v>125</v>
      </c>
      <c r="BR257" s="79">
        <v>0.4</v>
      </c>
    </row>
    <row r="258" spans="62:70" x14ac:dyDescent="0.25">
      <c r="BK258" s="74"/>
      <c r="BL258" s="74"/>
      <c r="BM258" s="75" t="s">
        <v>667</v>
      </c>
      <c r="BN258" s="75">
        <v>0.1</v>
      </c>
      <c r="BO258" s="77"/>
      <c r="BP258" s="77"/>
      <c r="BQ258" s="79" t="s">
        <v>710</v>
      </c>
      <c r="BR258" s="79">
        <v>0.2</v>
      </c>
    </row>
    <row r="259" spans="62:70" x14ac:dyDescent="0.25">
      <c r="BK259" s="74"/>
      <c r="BL259" s="74"/>
      <c r="BM259" s="75" t="s">
        <v>668</v>
      </c>
      <c r="BN259" s="75">
        <v>0.5</v>
      </c>
      <c r="BO259" s="77"/>
      <c r="BP259" s="77"/>
      <c r="BQ259" s="79" t="s">
        <v>711</v>
      </c>
      <c r="BR259" s="79">
        <v>0.25</v>
      </c>
    </row>
    <row r="260" spans="62:70" x14ac:dyDescent="0.25">
      <c r="BK260" s="74"/>
      <c r="BL260" s="74"/>
      <c r="BM260" s="75" t="s">
        <v>669</v>
      </c>
      <c r="BN260" s="75">
        <v>0.5</v>
      </c>
      <c r="BO260" s="77"/>
      <c r="BP260" s="77"/>
      <c r="BQ260" s="79"/>
      <c r="BR260" s="79"/>
    </row>
    <row r="261" spans="62:70" x14ac:dyDescent="0.25">
      <c r="BK261" s="74"/>
      <c r="BL261" s="74"/>
      <c r="BM261" s="75" t="s">
        <v>670</v>
      </c>
      <c r="BN261" s="75">
        <v>0.4</v>
      </c>
      <c r="BO261" s="77"/>
      <c r="BP261" s="77"/>
      <c r="BQ261" s="79"/>
      <c r="BR261" s="79"/>
    </row>
    <row r="262" spans="62:70" x14ac:dyDescent="0.25">
      <c r="BK262" s="74"/>
      <c r="BL262" s="74"/>
      <c r="BM262" s="75" t="s">
        <v>671</v>
      </c>
      <c r="BN262" s="75">
        <v>0.45</v>
      </c>
      <c r="BO262" s="77"/>
      <c r="BP262" s="77"/>
      <c r="BQ262" s="79"/>
      <c r="BR262" s="79"/>
    </row>
    <row r="263" spans="62:70" x14ac:dyDescent="0.25">
      <c r="BK263" s="74"/>
      <c r="BL263" s="74"/>
      <c r="BM263" s="75" t="s">
        <v>1530</v>
      </c>
      <c r="BN263" s="75">
        <v>0.15</v>
      </c>
      <c r="BO263" s="77"/>
      <c r="BP263" s="77"/>
      <c r="BQ263" s="79"/>
      <c r="BR263" s="79"/>
    </row>
    <row r="264" spans="62:70" x14ac:dyDescent="0.25">
      <c r="BK264" s="74"/>
      <c r="BL264" s="74"/>
      <c r="BM264" s="75" t="s">
        <v>672</v>
      </c>
      <c r="BN264" s="75">
        <v>0.7</v>
      </c>
      <c r="BO264" s="77"/>
      <c r="BP264" s="77"/>
      <c r="BQ264" s="79"/>
      <c r="BR264" s="79"/>
    </row>
    <row r="265" spans="62:70" x14ac:dyDescent="0.25">
      <c r="BK265" s="74"/>
      <c r="BL265" s="74"/>
      <c r="BM265" s="75" t="s">
        <v>673</v>
      </c>
      <c r="BN265" s="75">
        <v>0.5</v>
      </c>
      <c r="BO265" s="77"/>
      <c r="BP265" s="77"/>
      <c r="BQ265" s="79"/>
      <c r="BR265" s="79"/>
    </row>
    <row r="266" spans="62:70" x14ac:dyDescent="0.25">
      <c r="BK266" s="74"/>
      <c r="BL266" s="74"/>
      <c r="BM266" s="75" t="s">
        <v>674</v>
      </c>
      <c r="BN266" s="75">
        <v>0.2</v>
      </c>
      <c r="BO266" s="77"/>
      <c r="BP266" s="77"/>
      <c r="BQ266" s="79"/>
      <c r="BR266" s="79"/>
    </row>
    <row r="267" spans="62:70" x14ac:dyDescent="0.25">
      <c r="BK267" s="74"/>
      <c r="BL267" s="74"/>
      <c r="BM267" s="75"/>
      <c r="BN267" s="75"/>
      <c r="BO267" s="77"/>
      <c r="BP267" s="77"/>
      <c r="BQ267" s="79"/>
      <c r="BR267" s="79"/>
    </row>
    <row r="268" spans="62:70" x14ac:dyDescent="0.25">
      <c r="BK268" s="74"/>
      <c r="BL268" s="74"/>
      <c r="BM268" s="75"/>
      <c r="BN268" s="75"/>
      <c r="BO268" s="77"/>
      <c r="BP268" s="77"/>
      <c r="BQ268" s="79"/>
      <c r="BR268" s="79"/>
    </row>
    <row r="269" spans="62:70" x14ac:dyDescent="0.25">
      <c r="BK269" s="74"/>
      <c r="BL269" s="74"/>
      <c r="BM269" s="75"/>
      <c r="BN269" s="75"/>
      <c r="BO269" s="77"/>
      <c r="BP269" s="77"/>
      <c r="BQ269" s="79"/>
      <c r="BR269" s="79"/>
    </row>
    <row r="270" spans="62:70" x14ac:dyDescent="0.25">
      <c r="BJ270" s="8">
        <v>7</v>
      </c>
      <c r="BK270" s="74" t="s">
        <v>616</v>
      </c>
      <c r="BL270" s="74">
        <v>0.1</v>
      </c>
      <c r="BM270" s="75"/>
      <c r="BN270" s="75"/>
      <c r="BO270" s="77" t="s">
        <v>616</v>
      </c>
      <c r="BP270" s="77">
        <v>0.1</v>
      </c>
      <c r="BQ270" s="79"/>
      <c r="BR270" s="79"/>
    </row>
    <row r="271" spans="62:70" x14ac:dyDescent="0.25">
      <c r="BK271" s="74" t="s">
        <v>98</v>
      </c>
      <c r="BL271" s="74">
        <v>0.15</v>
      </c>
      <c r="BM271" s="75"/>
      <c r="BN271" s="75"/>
      <c r="BO271" s="77" t="s">
        <v>98</v>
      </c>
      <c r="BP271" s="77">
        <v>0.15</v>
      </c>
      <c r="BQ271" s="79"/>
      <c r="BR271" s="79"/>
    </row>
    <row r="272" spans="62:70" x14ac:dyDescent="0.25">
      <c r="BK272" s="74" t="s">
        <v>617</v>
      </c>
      <c r="BL272" s="74">
        <v>0.2</v>
      </c>
      <c r="BM272" s="75"/>
      <c r="BN272" s="75"/>
      <c r="BO272" s="77" t="s">
        <v>617</v>
      </c>
      <c r="BP272" s="77">
        <v>0.2</v>
      </c>
      <c r="BQ272" s="79"/>
      <c r="BR272" s="79"/>
    </row>
    <row r="273" spans="63:70" x14ac:dyDescent="0.25">
      <c r="BK273" s="74" t="s">
        <v>99</v>
      </c>
      <c r="BL273" s="74">
        <v>0.25</v>
      </c>
      <c r="BM273" s="75"/>
      <c r="BN273" s="75"/>
      <c r="BO273" s="77" t="s">
        <v>99</v>
      </c>
      <c r="BP273" s="77">
        <v>0.25</v>
      </c>
      <c r="BQ273" s="79"/>
      <c r="BR273" s="79"/>
    </row>
    <row r="274" spans="63:70" x14ac:dyDescent="0.25">
      <c r="BK274" s="74" t="s">
        <v>618</v>
      </c>
      <c r="BL274" s="74">
        <v>0.1</v>
      </c>
      <c r="BM274" s="75"/>
      <c r="BN274" s="75"/>
      <c r="BO274" s="77" t="s">
        <v>618</v>
      </c>
      <c r="BP274" s="77">
        <v>0.1</v>
      </c>
      <c r="BQ274" s="79"/>
      <c r="BR274" s="79"/>
    </row>
    <row r="275" spans="63:70" x14ac:dyDescent="0.25">
      <c r="BK275" s="74" t="s">
        <v>619</v>
      </c>
      <c r="BL275" s="74">
        <v>0.2</v>
      </c>
      <c r="BM275" s="75"/>
      <c r="BN275" s="75"/>
      <c r="BO275" s="77" t="s">
        <v>619</v>
      </c>
      <c r="BP275" s="77">
        <v>0.2</v>
      </c>
      <c r="BQ275" s="79"/>
      <c r="BR275" s="79"/>
    </row>
    <row r="276" spans="63:70" x14ac:dyDescent="0.25">
      <c r="BK276" s="74" t="s">
        <v>620</v>
      </c>
      <c r="BL276" s="74">
        <v>0.3</v>
      </c>
      <c r="BM276" s="75"/>
      <c r="BN276" s="75"/>
      <c r="BO276" s="77" t="s">
        <v>620</v>
      </c>
      <c r="BP276" s="77">
        <v>0.3</v>
      </c>
      <c r="BQ276" s="79"/>
      <c r="BR276" s="79"/>
    </row>
    <row r="277" spans="63:70" x14ac:dyDescent="0.25">
      <c r="BK277" s="74" t="s">
        <v>621</v>
      </c>
      <c r="BL277" s="74">
        <v>0.4</v>
      </c>
      <c r="BM277" s="75"/>
      <c r="BN277" s="75"/>
      <c r="BO277" s="77" t="s">
        <v>621</v>
      </c>
      <c r="BP277" s="77">
        <v>0.4</v>
      </c>
      <c r="BQ277" s="79"/>
      <c r="BR277" s="79"/>
    </row>
    <row r="278" spans="63:70" x14ac:dyDescent="0.25">
      <c r="BK278" s="74" t="s">
        <v>622</v>
      </c>
      <c r="BL278" s="74">
        <v>0.05</v>
      </c>
      <c r="BM278" s="75"/>
      <c r="BN278" s="75"/>
      <c r="BO278" s="77" t="s">
        <v>622</v>
      </c>
      <c r="BP278" s="77">
        <v>0.05</v>
      </c>
      <c r="BQ278" s="79"/>
      <c r="BR278" s="79"/>
    </row>
    <row r="279" spans="63:70" x14ac:dyDescent="0.25">
      <c r="BK279" s="74" t="s">
        <v>623</v>
      </c>
      <c r="BL279" s="74">
        <v>0.2</v>
      </c>
      <c r="BM279" s="75"/>
      <c r="BN279" s="75"/>
      <c r="BO279" s="77" t="s">
        <v>624</v>
      </c>
      <c r="BP279" s="77">
        <v>0.3</v>
      </c>
      <c r="BQ279" s="79"/>
      <c r="BR279" s="79"/>
    </row>
    <row r="280" spans="63:70" x14ac:dyDescent="0.25">
      <c r="BK280" s="74" t="s">
        <v>624</v>
      </c>
      <c r="BL280" s="74">
        <v>0.3</v>
      </c>
      <c r="BM280" s="75"/>
      <c r="BN280" s="75"/>
      <c r="BO280" s="77" t="s">
        <v>625</v>
      </c>
      <c r="BP280" s="77">
        <v>0.5</v>
      </c>
      <c r="BQ280" s="79"/>
      <c r="BR280" s="79"/>
    </row>
    <row r="281" spans="63:70" x14ac:dyDescent="0.25">
      <c r="BK281" s="74" t="s">
        <v>625</v>
      </c>
      <c r="BL281" s="74">
        <v>0.5</v>
      </c>
      <c r="BM281" s="75"/>
      <c r="BN281" s="75"/>
      <c r="BO281" s="77" t="s">
        <v>626</v>
      </c>
      <c r="BP281" s="77">
        <v>0.6</v>
      </c>
      <c r="BQ281" s="79"/>
      <c r="BR281" s="79"/>
    </row>
    <row r="282" spans="63:70" x14ac:dyDescent="0.25">
      <c r="BK282" s="74" t="s">
        <v>626</v>
      </c>
      <c r="BL282" s="74">
        <v>0.6</v>
      </c>
      <c r="BM282" s="75"/>
      <c r="BN282" s="75"/>
      <c r="BO282" s="77" t="s">
        <v>630</v>
      </c>
      <c r="BP282" s="77">
        <v>0.4</v>
      </c>
      <c r="BQ282" s="79"/>
      <c r="BR282" s="79"/>
    </row>
    <row r="283" spans="63:70" x14ac:dyDescent="0.25">
      <c r="BK283" s="74" t="s">
        <v>627</v>
      </c>
      <c r="BL283" s="74">
        <v>0.8</v>
      </c>
      <c r="BM283" s="75"/>
      <c r="BN283" s="75"/>
      <c r="BO283" s="77" t="s">
        <v>631</v>
      </c>
      <c r="BP283" s="77">
        <v>0.6</v>
      </c>
      <c r="BQ283" s="79"/>
      <c r="BR283" s="79"/>
    </row>
    <row r="284" spans="63:70" x14ac:dyDescent="0.25">
      <c r="BK284" s="74" t="s">
        <v>628</v>
      </c>
      <c r="BL284" s="74">
        <v>1.4</v>
      </c>
      <c r="BM284" s="75"/>
      <c r="BN284" s="75"/>
      <c r="BO284" s="77" t="s">
        <v>632</v>
      </c>
      <c r="BP284" s="77">
        <v>0.7</v>
      </c>
      <c r="BQ284" s="79"/>
      <c r="BR284" s="79"/>
    </row>
    <row r="285" spans="63:70" x14ac:dyDescent="0.25">
      <c r="BK285" s="74" t="s">
        <v>629</v>
      </c>
      <c r="BL285" s="74">
        <v>0.1</v>
      </c>
      <c r="BM285" s="75"/>
      <c r="BN285" s="75"/>
      <c r="BO285" s="77" t="s">
        <v>634</v>
      </c>
      <c r="BP285" s="77">
        <v>2.5000000000000001E-2</v>
      </c>
      <c r="BQ285" s="79"/>
      <c r="BR285" s="79"/>
    </row>
    <row r="286" spans="63:70" x14ac:dyDescent="0.25">
      <c r="BK286" s="74" t="s">
        <v>630</v>
      </c>
      <c r="BL286" s="74">
        <v>0.4</v>
      </c>
      <c r="BM286" s="75"/>
      <c r="BN286" s="75"/>
      <c r="BO286" s="77" t="s">
        <v>635</v>
      </c>
      <c r="BP286" s="77">
        <v>0.125</v>
      </c>
      <c r="BQ286" s="79"/>
      <c r="BR286" s="79"/>
    </row>
    <row r="287" spans="63:70" x14ac:dyDescent="0.25">
      <c r="BK287" s="74" t="s">
        <v>631</v>
      </c>
      <c r="BL287" s="74">
        <v>0.6</v>
      </c>
      <c r="BM287" s="75"/>
      <c r="BN287" s="75"/>
      <c r="BO287" s="77" t="s">
        <v>1524</v>
      </c>
      <c r="BP287" s="77">
        <v>0.17499999999999999</v>
      </c>
      <c r="BQ287" s="79"/>
      <c r="BR287" s="79"/>
    </row>
    <row r="288" spans="63:70" x14ac:dyDescent="0.25">
      <c r="BK288" s="74" t="s">
        <v>632</v>
      </c>
      <c r="BL288" s="74">
        <v>0.7</v>
      </c>
      <c r="BM288" s="75"/>
      <c r="BN288" s="75"/>
      <c r="BO288" s="77" t="s">
        <v>636</v>
      </c>
      <c r="BP288" s="77">
        <v>0.22500000000000001</v>
      </c>
      <c r="BQ288" s="79"/>
      <c r="BR288" s="79"/>
    </row>
    <row r="289" spans="63:70" x14ac:dyDescent="0.25">
      <c r="BK289" s="74" t="s">
        <v>633</v>
      </c>
      <c r="BL289" s="74">
        <v>0.1</v>
      </c>
      <c r="BM289" s="75"/>
      <c r="BN289" s="75"/>
      <c r="BO289" s="77" t="s">
        <v>638</v>
      </c>
      <c r="BP289" s="77">
        <v>0.4</v>
      </c>
      <c r="BQ289" s="79"/>
      <c r="BR289" s="79"/>
    </row>
    <row r="290" spans="63:70" x14ac:dyDescent="0.25">
      <c r="BK290" s="74" t="s">
        <v>634</v>
      </c>
      <c r="BL290" s="74">
        <v>2.5000000000000001E-2</v>
      </c>
      <c r="BM290" s="75"/>
      <c r="BN290" s="75"/>
      <c r="BO290" s="77" t="s">
        <v>639</v>
      </c>
      <c r="BP290" s="77">
        <v>0.5</v>
      </c>
      <c r="BQ290" s="79"/>
      <c r="BR290" s="79"/>
    </row>
    <row r="291" spans="63:70" x14ac:dyDescent="0.25">
      <c r="BK291" s="74" t="s">
        <v>635</v>
      </c>
      <c r="BL291" s="74">
        <v>0.125</v>
      </c>
      <c r="BM291" s="75"/>
      <c r="BN291" s="75"/>
      <c r="BO291" s="77" t="s">
        <v>640</v>
      </c>
      <c r="BP291" s="77">
        <v>0.6</v>
      </c>
      <c r="BQ291" s="79"/>
      <c r="BR291" s="79"/>
    </row>
    <row r="292" spans="63:70" x14ac:dyDescent="0.25">
      <c r="BK292" s="74" t="s">
        <v>1524</v>
      </c>
      <c r="BL292" s="74">
        <v>0.17499999999999999</v>
      </c>
      <c r="BM292" s="75"/>
      <c r="BN292" s="75"/>
      <c r="BO292" s="77" t="s">
        <v>641</v>
      </c>
      <c r="BP292" s="77">
        <v>0.7</v>
      </c>
      <c r="BQ292" s="79"/>
      <c r="BR292" s="79"/>
    </row>
    <row r="293" spans="63:70" x14ac:dyDescent="0.25">
      <c r="BK293" s="74" t="s">
        <v>636</v>
      </c>
      <c r="BL293" s="74">
        <v>0.22500000000000001</v>
      </c>
      <c r="BM293" s="75"/>
      <c r="BN293" s="75"/>
      <c r="BO293" s="77" t="s">
        <v>1525</v>
      </c>
      <c r="BP293" s="77">
        <v>0.6</v>
      </c>
      <c r="BQ293" s="79"/>
      <c r="BR293" s="79"/>
    </row>
    <row r="294" spans="63:70" x14ac:dyDescent="0.25">
      <c r="BK294" s="74" t="s">
        <v>637</v>
      </c>
      <c r="BL294" s="74">
        <v>0.3</v>
      </c>
      <c r="BM294" s="75"/>
      <c r="BN294" s="75"/>
      <c r="BO294" s="77" t="s">
        <v>1526</v>
      </c>
      <c r="BP294" s="77">
        <v>0.7</v>
      </c>
      <c r="BQ294" s="79"/>
      <c r="BR294" s="79"/>
    </row>
    <row r="295" spans="63:70" x14ac:dyDescent="0.25">
      <c r="BK295" s="74" t="s">
        <v>638</v>
      </c>
      <c r="BL295" s="74">
        <v>0.4</v>
      </c>
      <c r="BM295" s="75"/>
      <c r="BN295" s="75"/>
      <c r="BO295" s="77" t="s">
        <v>643</v>
      </c>
      <c r="BP295" s="77">
        <v>0.9</v>
      </c>
      <c r="BQ295" s="79"/>
      <c r="BR295" s="79"/>
    </row>
    <row r="296" spans="63:70" x14ac:dyDescent="0.25">
      <c r="BK296" s="74" t="s">
        <v>639</v>
      </c>
      <c r="BL296" s="74">
        <v>0.5</v>
      </c>
      <c r="BM296" s="75"/>
      <c r="BN296" s="75"/>
      <c r="BO296" s="77" t="s">
        <v>644</v>
      </c>
      <c r="BP296" s="77">
        <v>1</v>
      </c>
      <c r="BQ296" s="79"/>
      <c r="BR296" s="79"/>
    </row>
    <row r="297" spans="63:70" x14ac:dyDescent="0.25">
      <c r="BK297" s="74" t="s">
        <v>640</v>
      </c>
      <c r="BL297" s="74">
        <v>0.6</v>
      </c>
      <c r="BM297" s="75"/>
      <c r="BN297" s="75"/>
      <c r="BO297" s="77" t="s">
        <v>629</v>
      </c>
      <c r="BP297" s="77">
        <v>0.1</v>
      </c>
      <c r="BQ297" s="79"/>
      <c r="BR297" s="79"/>
    </row>
    <row r="298" spans="63:70" x14ac:dyDescent="0.25">
      <c r="BK298" s="74" t="s">
        <v>641</v>
      </c>
      <c r="BL298" s="74">
        <v>0.7</v>
      </c>
      <c r="BM298" s="75"/>
      <c r="BN298" s="75"/>
      <c r="BO298" s="77" t="s">
        <v>633</v>
      </c>
      <c r="BP298" s="77">
        <v>0.1</v>
      </c>
      <c r="BQ298" s="79"/>
      <c r="BR298" s="79"/>
    </row>
    <row r="299" spans="63:70" x14ac:dyDescent="0.25">
      <c r="BK299" s="74" t="s">
        <v>642</v>
      </c>
      <c r="BL299" s="74">
        <v>0.8</v>
      </c>
      <c r="BM299" s="75"/>
      <c r="BN299" s="75"/>
      <c r="BO299" s="77"/>
      <c r="BP299" s="77"/>
      <c r="BQ299" s="79"/>
      <c r="BR299" s="79"/>
    </row>
    <row r="300" spans="63:70" x14ac:dyDescent="0.25">
      <c r="BK300" s="74" t="s">
        <v>1525</v>
      </c>
      <c r="BL300" s="74">
        <v>0.6</v>
      </c>
      <c r="BM300" s="75"/>
      <c r="BN300" s="75"/>
      <c r="BO300" s="77"/>
      <c r="BP300" s="77"/>
      <c r="BQ300" s="79"/>
      <c r="BR300" s="79"/>
    </row>
    <row r="301" spans="63:70" x14ac:dyDescent="0.25">
      <c r="BK301" s="74" t="s">
        <v>1526</v>
      </c>
      <c r="BL301" s="74">
        <v>0.7</v>
      </c>
      <c r="BM301" s="75"/>
      <c r="BN301" s="75"/>
      <c r="BO301" s="77"/>
      <c r="BP301" s="77"/>
      <c r="BQ301" s="79"/>
      <c r="BR301" s="79"/>
    </row>
    <row r="302" spans="63:70" x14ac:dyDescent="0.25">
      <c r="BK302" s="74" t="s">
        <v>643</v>
      </c>
      <c r="BL302" s="74">
        <v>0.9</v>
      </c>
      <c r="BM302" s="75"/>
      <c r="BN302" s="75"/>
      <c r="BO302" s="77"/>
      <c r="BP302" s="77"/>
      <c r="BQ302" s="79"/>
      <c r="BR302" s="79"/>
    </row>
    <row r="303" spans="63:70" x14ac:dyDescent="0.25">
      <c r="BK303" s="74" t="s">
        <v>644</v>
      </c>
      <c r="BL303" s="74">
        <v>1</v>
      </c>
      <c r="BM303" s="75"/>
      <c r="BN303" s="75"/>
      <c r="BO303" s="77"/>
      <c r="BP303" s="77"/>
      <c r="BQ303" s="79"/>
      <c r="BR303" s="79"/>
    </row>
    <row r="304" spans="63:70" x14ac:dyDescent="0.25">
      <c r="BK304" s="74" t="s">
        <v>1515</v>
      </c>
      <c r="BL304" s="74">
        <v>0.35</v>
      </c>
      <c r="BM304" s="75"/>
      <c r="BN304" s="75"/>
      <c r="BO304" s="77"/>
      <c r="BP304" s="77"/>
      <c r="BQ304" s="79"/>
      <c r="BR304" s="79"/>
    </row>
    <row r="305" spans="62:70" x14ac:dyDescent="0.25">
      <c r="BK305" s="74"/>
      <c r="BL305" s="74"/>
      <c r="BM305" s="75"/>
      <c r="BN305" s="75"/>
      <c r="BO305" s="77"/>
      <c r="BP305" s="77"/>
      <c r="BQ305" s="79"/>
      <c r="BR305" s="79"/>
    </row>
    <row r="306" spans="62:70" x14ac:dyDescent="0.25">
      <c r="BK306" s="74"/>
      <c r="BL306" s="74"/>
      <c r="BM306" s="75"/>
      <c r="BN306" s="75"/>
      <c r="BO306" s="77"/>
      <c r="BP306" s="77"/>
      <c r="BQ306" s="79"/>
      <c r="BR306" s="79"/>
    </row>
    <row r="307" spans="62:70" x14ac:dyDescent="0.25">
      <c r="BK307" s="74"/>
      <c r="BL307" s="74"/>
      <c r="BM307" s="75"/>
      <c r="BN307" s="75"/>
      <c r="BO307" s="77"/>
      <c r="BP307" s="77"/>
      <c r="BQ307" s="79"/>
      <c r="BR307" s="79"/>
    </row>
    <row r="308" spans="62:70" x14ac:dyDescent="0.25">
      <c r="BK308" s="74"/>
      <c r="BL308" s="74"/>
      <c r="BM308" s="75"/>
      <c r="BN308" s="75"/>
      <c r="BO308" s="77"/>
      <c r="BP308" s="77"/>
      <c r="BQ308" s="79"/>
      <c r="BR308" s="79"/>
    </row>
    <row r="309" spans="62:70" x14ac:dyDescent="0.25">
      <c r="BK309" s="74"/>
      <c r="BL309" s="74"/>
      <c r="BM309" s="75"/>
      <c r="BN309" s="75"/>
      <c r="BO309" s="77"/>
      <c r="BP309" s="77"/>
      <c r="BQ309" s="79"/>
      <c r="BR309" s="79"/>
    </row>
    <row r="310" spans="62:70" x14ac:dyDescent="0.25">
      <c r="BJ310" s="8">
        <v>8</v>
      </c>
      <c r="BK310" s="74" t="s">
        <v>645</v>
      </c>
      <c r="BL310" s="74">
        <v>0.2</v>
      </c>
      <c r="BM310" s="75" t="s">
        <v>675</v>
      </c>
      <c r="BN310" s="75">
        <v>0.2</v>
      </c>
      <c r="BO310" s="77" t="s">
        <v>690</v>
      </c>
      <c r="BP310" s="77">
        <v>0.3</v>
      </c>
      <c r="BQ310" s="79" t="s">
        <v>712</v>
      </c>
      <c r="BR310" s="79">
        <v>0.2</v>
      </c>
    </row>
    <row r="311" spans="62:70" x14ac:dyDescent="0.25">
      <c r="BK311" s="74" t="s">
        <v>646</v>
      </c>
      <c r="BL311" s="74">
        <v>0.5</v>
      </c>
      <c r="BM311" s="75" t="s">
        <v>676</v>
      </c>
      <c r="BN311" s="75">
        <v>0.3</v>
      </c>
      <c r="BO311" s="77" t="s">
        <v>691</v>
      </c>
      <c r="BP311" s="77">
        <v>0.3</v>
      </c>
      <c r="BQ311" s="79" t="s">
        <v>713</v>
      </c>
      <c r="BR311" s="79">
        <v>0.1</v>
      </c>
    </row>
    <row r="312" spans="62:70" x14ac:dyDescent="0.25">
      <c r="BK312" s="74" t="s">
        <v>647</v>
      </c>
      <c r="BL312" s="74">
        <v>0.4</v>
      </c>
      <c r="BM312" s="75" t="s">
        <v>677</v>
      </c>
      <c r="BN312" s="75">
        <v>0.1</v>
      </c>
      <c r="BO312" s="77" t="s">
        <v>692</v>
      </c>
      <c r="BP312" s="77">
        <v>0.2</v>
      </c>
      <c r="BQ312" s="79" t="s">
        <v>714</v>
      </c>
      <c r="BR312" s="79">
        <v>0.05</v>
      </c>
    </row>
    <row r="313" spans="62:70" x14ac:dyDescent="0.25">
      <c r="BK313" s="74" t="s">
        <v>648</v>
      </c>
      <c r="BL313" s="74">
        <v>0.2</v>
      </c>
      <c r="BM313" s="75" t="s">
        <v>678</v>
      </c>
      <c r="BN313" s="75">
        <v>0.2</v>
      </c>
      <c r="BO313" s="77" t="s">
        <v>693</v>
      </c>
      <c r="BP313" s="77">
        <v>0.1</v>
      </c>
      <c r="BQ313" s="79" t="s">
        <v>715</v>
      </c>
      <c r="BR313" s="79">
        <v>0.1</v>
      </c>
    </row>
    <row r="314" spans="62:70" x14ac:dyDescent="0.25">
      <c r="BK314" s="74" t="s">
        <v>649</v>
      </c>
      <c r="BL314" s="74">
        <v>0.4</v>
      </c>
      <c r="BM314" s="75" t="s">
        <v>679</v>
      </c>
      <c r="BN314" s="75">
        <v>0.1</v>
      </c>
      <c r="BO314" s="77" t="s">
        <v>694</v>
      </c>
      <c r="BP314" s="77">
        <v>0.3</v>
      </c>
      <c r="BQ314" s="79" t="s">
        <v>716</v>
      </c>
      <c r="BR314" s="79">
        <v>0.2</v>
      </c>
    </row>
    <row r="315" spans="62:70" x14ac:dyDescent="0.25">
      <c r="BK315" s="74" t="s">
        <v>650</v>
      </c>
      <c r="BL315" s="74">
        <v>2.5000000000000001E-2</v>
      </c>
      <c r="BM315" s="75" t="s">
        <v>680</v>
      </c>
      <c r="BN315" s="75">
        <v>0.2</v>
      </c>
      <c r="BO315" s="77" t="s">
        <v>695</v>
      </c>
      <c r="BP315" s="77">
        <v>0.2</v>
      </c>
      <c r="BQ315" s="79" t="s">
        <v>717</v>
      </c>
      <c r="BR315" s="79">
        <v>0.2</v>
      </c>
    </row>
    <row r="316" spans="62:70" x14ac:dyDescent="0.25">
      <c r="BK316" s="74" t="s">
        <v>651</v>
      </c>
      <c r="BL316" s="74">
        <v>0.3</v>
      </c>
      <c r="BM316" s="75" t="s">
        <v>681</v>
      </c>
      <c r="BN316" s="75">
        <v>0.05</v>
      </c>
      <c r="BO316" s="77" t="s">
        <v>696</v>
      </c>
      <c r="BP316" s="77">
        <v>0.2</v>
      </c>
      <c r="BQ316" s="79" t="s">
        <v>718</v>
      </c>
      <c r="BR316" s="79">
        <v>0.2</v>
      </c>
    </row>
    <row r="317" spans="62:70" x14ac:dyDescent="0.25">
      <c r="BK317" s="74" t="s">
        <v>652</v>
      </c>
      <c r="BL317" s="74">
        <v>0.1</v>
      </c>
      <c r="BM317" s="75" t="s">
        <v>682</v>
      </c>
      <c r="BN317" s="75">
        <v>0.2</v>
      </c>
      <c r="BO317" s="77" t="s">
        <v>697</v>
      </c>
      <c r="BP317" s="77">
        <v>0.1</v>
      </c>
      <c r="BQ317" s="79" t="s">
        <v>719</v>
      </c>
      <c r="BR317" s="79">
        <v>0.2</v>
      </c>
    </row>
    <row r="318" spans="62:70" x14ac:dyDescent="0.25">
      <c r="BK318" s="74" t="s">
        <v>653</v>
      </c>
      <c r="BL318" s="74">
        <v>2.5000000000000001E-2</v>
      </c>
      <c r="BM318" s="75" t="s">
        <v>683</v>
      </c>
      <c r="BN318" s="75">
        <v>0.05</v>
      </c>
      <c r="BO318" s="77" t="s">
        <v>698</v>
      </c>
      <c r="BP318" s="77">
        <v>0.1</v>
      </c>
      <c r="BQ318" s="79" t="s">
        <v>720</v>
      </c>
      <c r="BR318" s="79">
        <v>0.05</v>
      </c>
    </row>
    <row r="319" spans="62:70" x14ac:dyDescent="0.25">
      <c r="BK319" s="74" t="s">
        <v>654</v>
      </c>
      <c r="BL319" s="74">
        <v>0.15</v>
      </c>
      <c r="BM319" s="75" t="s">
        <v>684</v>
      </c>
      <c r="BN319" s="75">
        <v>0.1</v>
      </c>
      <c r="BO319" s="77" t="s">
        <v>699</v>
      </c>
      <c r="BP319" s="77">
        <v>0.05</v>
      </c>
      <c r="BQ319" s="79" t="s">
        <v>721</v>
      </c>
      <c r="BR319" s="79">
        <v>0.2</v>
      </c>
    </row>
    <row r="320" spans="62:70" x14ac:dyDescent="0.25">
      <c r="BK320" s="74" t="s">
        <v>655</v>
      </c>
      <c r="BL320" s="74">
        <v>0.05</v>
      </c>
      <c r="BM320" s="75" t="s">
        <v>685</v>
      </c>
      <c r="BN320" s="75">
        <v>0.1</v>
      </c>
      <c r="BO320" s="77" t="s">
        <v>700</v>
      </c>
      <c r="BP320" s="77">
        <v>0.1</v>
      </c>
      <c r="BQ320" s="79" t="s">
        <v>722</v>
      </c>
      <c r="BR320" s="79">
        <v>0.3</v>
      </c>
    </row>
    <row r="321" spans="63:70" x14ac:dyDescent="0.25">
      <c r="BK321" s="74" t="s">
        <v>656</v>
      </c>
      <c r="BL321" s="74">
        <v>0.1</v>
      </c>
      <c r="BM321" s="75" t="s">
        <v>686</v>
      </c>
      <c r="BN321" s="75">
        <v>0.2</v>
      </c>
      <c r="BO321" s="77" t="s">
        <v>701</v>
      </c>
      <c r="BP321" s="77">
        <v>0.05</v>
      </c>
      <c r="BQ321" s="79" t="s">
        <v>723</v>
      </c>
      <c r="BR321" s="79">
        <v>0.3</v>
      </c>
    </row>
    <row r="322" spans="63:70" x14ac:dyDescent="0.25">
      <c r="BK322" s="74" t="s">
        <v>657</v>
      </c>
      <c r="BL322" s="74">
        <v>0.2</v>
      </c>
      <c r="BM322" s="75" t="s">
        <v>687</v>
      </c>
      <c r="BN322" s="75">
        <v>0.1</v>
      </c>
      <c r="BO322" s="77" t="s">
        <v>702</v>
      </c>
      <c r="BP322" s="77">
        <v>0.3</v>
      </c>
      <c r="BQ322" s="79" t="s">
        <v>724</v>
      </c>
      <c r="BR322" s="79">
        <v>0.3</v>
      </c>
    </row>
    <row r="323" spans="63:70" x14ac:dyDescent="0.25">
      <c r="BK323" s="74" t="s">
        <v>658</v>
      </c>
      <c r="BL323" s="74">
        <v>0.2</v>
      </c>
      <c r="BM323" s="75" t="s">
        <v>688</v>
      </c>
      <c r="BN323" s="75">
        <v>0.2</v>
      </c>
      <c r="BO323" s="77" t="s">
        <v>703</v>
      </c>
      <c r="BP323" s="77">
        <v>0.05</v>
      </c>
      <c r="BQ323" s="79" t="s">
        <v>725</v>
      </c>
      <c r="BR323" s="79">
        <v>0.2</v>
      </c>
    </row>
    <row r="324" spans="63:70" x14ac:dyDescent="0.25">
      <c r="BK324" s="74" t="s">
        <v>659</v>
      </c>
      <c r="BL324" s="74">
        <v>0.1</v>
      </c>
      <c r="BM324" s="75" t="s">
        <v>689</v>
      </c>
      <c r="BN324" s="75">
        <v>0.05</v>
      </c>
      <c r="BO324" s="77" t="s">
        <v>704</v>
      </c>
      <c r="BP324" s="77">
        <v>0.1</v>
      </c>
      <c r="BQ324" s="79" t="s">
        <v>726</v>
      </c>
      <c r="BR324" s="79">
        <v>0.2</v>
      </c>
    </row>
    <row r="325" spans="63:70" x14ac:dyDescent="0.25">
      <c r="BK325" s="74" t="s">
        <v>660</v>
      </c>
      <c r="BL325" s="74">
        <v>0.05</v>
      </c>
      <c r="BM325" s="75"/>
      <c r="BN325" s="75"/>
      <c r="BO325" s="77" t="s">
        <v>1508</v>
      </c>
      <c r="BP325" s="77">
        <v>0.4</v>
      </c>
      <c r="BQ325" s="79" t="s">
        <v>727</v>
      </c>
      <c r="BR325" s="79">
        <v>0.1</v>
      </c>
    </row>
    <row r="326" spans="63:70" x14ac:dyDescent="0.25">
      <c r="BK326" s="74"/>
      <c r="BL326" s="74"/>
      <c r="BM326" s="75"/>
      <c r="BN326" s="75"/>
      <c r="BO326" s="77" t="s">
        <v>1514</v>
      </c>
      <c r="BP326" s="77">
        <v>0.05</v>
      </c>
      <c r="BQ326" s="79" t="s">
        <v>728</v>
      </c>
      <c r="BR326" s="79">
        <v>0.1</v>
      </c>
    </row>
    <row r="327" spans="63:70" x14ac:dyDescent="0.25">
      <c r="BK327" s="74"/>
      <c r="BL327" s="74"/>
      <c r="BM327" s="75"/>
      <c r="BN327" s="75"/>
      <c r="BO327" s="77"/>
      <c r="BP327" s="77"/>
      <c r="BQ327" s="79" t="s">
        <v>729</v>
      </c>
      <c r="BR327" s="79">
        <v>0.1</v>
      </c>
    </row>
    <row r="328" spans="63:70" x14ac:dyDescent="0.25">
      <c r="BK328" s="74"/>
      <c r="BL328" s="74"/>
      <c r="BM328" s="75"/>
      <c r="BN328" s="75"/>
      <c r="BO328" s="77"/>
      <c r="BP328" s="77"/>
      <c r="BQ328" s="79" t="s">
        <v>730</v>
      </c>
      <c r="BR328" s="79">
        <v>0.1</v>
      </c>
    </row>
    <row r="329" spans="63:70" x14ac:dyDescent="0.25">
      <c r="BK329" s="74"/>
      <c r="BL329" s="74"/>
      <c r="BM329" s="75"/>
      <c r="BN329" s="75"/>
      <c r="BO329" s="77"/>
      <c r="BP329" s="77"/>
      <c r="BQ329" s="79" t="s">
        <v>731</v>
      </c>
      <c r="BR329" s="79">
        <v>0.05</v>
      </c>
    </row>
    <row r="330" spans="63:70" x14ac:dyDescent="0.25">
      <c r="BK330" s="74"/>
      <c r="BL330" s="74"/>
      <c r="BM330" s="75"/>
      <c r="BN330" s="75"/>
      <c r="BO330" s="77"/>
      <c r="BP330" s="77"/>
      <c r="BQ330" s="79" t="s">
        <v>732</v>
      </c>
      <c r="BR330" s="79">
        <v>0.05</v>
      </c>
    </row>
    <row r="331" spans="63:70" x14ac:dyDescent="0.25">
      <c r="BK331" s="74"/>
      <c r="BL331" s="74"/>
      <c r="BM331" s="75"/>
      <c r="BN331" s="75"/>
      <c r="BO331" s="77"/>
      <c r="BP331" s="77"/>
      <c r="BQ331" s="79" t="s">
        <v>733</v>
      </c>
      <c r="BR331" s="79">
        <v>0.1</v>
      </c>
    </row>
    <row r="332" spans="63:70" x14ac:dyDescent="0.25">
      <c r="BK332" s="74"/>
      <c r="BL332" s="74"/>
      <c r="BM332" s="75"/>
      <c r="BN332" s="75"/>
      <c r="BO332" s="77"/>
      <c r="BP332" s="77"/>
      <c r="BQ332" s="79" t="s">
        <v>734</v>
      </c>
      <c r="BR332" s="79">
        <v>0.05</v>
      </c>
    </row>
    <row r="333" spans="63:70" x14ac:dyDescent="0.25">
      <c r="BK333" s="74"/>
      <c r="BL333" s="74"/>
      <c r="BM333" s="75"/>
      <c r="BN333" s="75"/>
      <c r="BO333" s="77"/>
      <c r="BP333" s="77"/>
      <c r="BQ333" s="79" t="s">
        <v>735</v>
      </c>
      <c r="BR333" s="79">
        <v>0.1</v>
      </c>
    </row>
    <row r="334" spans="63:70" x14ac:dyDescent="0.25">
      <c r="BK334" s="74"/>
      <c r="BL334" s="74"/>
      <c r="BM334" s="75"/>
      <c r="BN334" s="75"/>
      <c r="BO334" s="77"/>
      <c r="BP334" s="77"/>
      <c r="BQ334" s="79" t="s">
        <v>736</v>
      </c>
      <c r="BR334" s="79">
        <v>0.1</v>
      </c>
    </row>
    <row r="335" spans="63:70" x14ac:dyDescent="0.25">
      <c r="BK335" s="74"/>
      <c r="BL335" s="74"/>
      <c r="BM335" s="75"/>
      <c r="BN335" s="75"/>
      <c r="BO335" s="77"/>
      <c r="BP335" s="77"/>
      <c r="BQ335" s="79" t="s">
        <v>1517</v>
      </c>
      <c r="BR335" s="79">
        <v>0.1</v>
      </c>
    </row>
    <row r="336" spans="63:70" x14ac:dyDescent="0.25">
      <c r="BK336" s="74"/>
      <c r="BL336" s="74"/>
      <c r="BM336" s="75"/>
      <c r="BN336" s="75"/>
      <c r="BO336" s="77"/>
      <c r="BP336" s="77"/>
      <c r="BQ336" s="79" t="s">
        <v>1518</v>
      </c>
      <c r="BR336" s="79">
        <v>0.35</v>
      </c>
    </row>
    <row r="337" spans="63:70" x14ac:dyDescent="0.25">
      <c r="BK337" s="74"/>
      <c r="BL337" s="74"/>
      <c r="BM337" s="75"/>
      <c r="BN337" s="75"/>
      <c r="BO337" s="77"/>
      <c r="BP337" s="77"/>
      <c r="BQ337" s="79"/>
      <c r="BR337" s="79"/>
    </row>
    <row r="338" spans="63:70" x14ac:dyDescent="0.25">
      <c r="BK338" s="74"/>
      <c r="BL338" s="74"/>
      <c r="BM338" s="75"/>
      <c r="BN338" s="75"/>
      <c r="BO338" s="77"/>
      <c r="BP338" s="77"/>
      <c r="BQ338" s="79"/>
      <c r="BR338" s="79"/>
    </row>
  </sheetData>
  <sortState ref="BF20:BG41">
    <sortCondition ref="BG20:BG41"/>
  </sortState>
  <mergeCells count="21">
    <mergeCell ref="BQ1:BR1"/>
    <mergeCell ref="W1:X1"/>
    <mergeCell ref="Y1:Z1"/>
    <mergeCell ref="AA1:AB1"/>
    <mergeCell ref="AJ1:AK1"/>
    <mergeCell ref="AR1:AS1"/>
    <mergeCell ref="AC1:AD1"/>
    <mergeCell ref="AV1:AW1"/>
    <mergeCell ref="AX1:AY1"/>
    <mergeCell ref="AZ1:BA1"/>
    <mergeCell ref="BB1:BC1"/>
    <mergeCell ref="AF1:AG1"/>
    <mergeCell ref="AH1:AI1"/>
    <mergeCell ref="AL1:AM1"/>
    <mergeCell ref="AN1:AO1"/>
    <mergeCell ref="AP1:AQ1"/>
    <mergeCell ref="BD1:BE1"/>
    <mergeCell ref="BF1:BG1"/>
    <mergeCell ref="BK1:BL1"/>
    <mergeCell ref="BM1:BN1"/>
    <mergeCell ref="AT1:AU1"/>
  </mergeCells>
  <phoneticPr fontId="9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71</vt:i4>
      </vt:variant>
    </vt:vector>
  </HeadingPairs>
  <TitlesOfParts>
    <vt:vector size="75" baseType="lpstr">
      <vt:lpstr>Instructions</vt:lpstr>
      <vt:lpstr>Coach Card</vt:lpstr>
      <vt:lpstr>Print</vt:lpstr>
      <vt:lpstr>Data</vt:lpstr>
      <vt:lpstr>AcroABonus</vt:lpstr>
      <vt:lpstr>AcroABonusX</vt:lpstr>
      <vt:lpstr>AcroADD1</vt:lpstr>
      <vt:lpstr>AcroADD2</vt:lpstr>
      <vt:lpstr>AcroADD2X</vt:lpstr>
      <vt:lpstr>AcroADD3</vt:lpstr>
      <vt:lpstr>AcroADD3X</vt:lpstr>
      <vt:lpstr>AcroADD4p1</vt:lpstr>
      <vt:lpstr>AcroADD4p1X</vt:lpstr>
      <vt:lpstr>AcroADD4p2</vt:lpstr>
      <vt:lpstr>AcroADD4p2X</vt:lpstr>
      <vt:lpstr>AcroADD5</vt:lpstr>
      <vt:lpstr>AcroADD5X</vt:lpstr>
      <vt:lpstr>AcroBBonus</vt:lpstr>
      <vt:lpstr>AcroBBonusX</vt:lpstr>
      <vt:lpstr>AcroBDD1</vt:lpstr>
      <vt:lpstr>AcroBDD2</vt:lpstr>
      <vt:lpstr>AcroBDD2X</vt:lpstr>
      <vt:lpstr>AcroBDD3</vt:lpstr>
      <vt:lpstr>AcroBDD3W</vt:lpstr>
      <vt:lpstr>AcroBDD3X</vt:lpstr>
      <vt:lpstr>AcroBDD4p1</vt:lpstr>
      <vt:lpstr>AcroBDD4p1X</vt:lpstr>
      <vt:lpstr>AcroBDD4p2</vt:lpstr>
      <vt:lpstr>AcroBDD4p2X</vt:lpstr>
      <vt:lpstr>AcroBDD5</vt:lpstr>
      <vt:lpstr>AcroBDD5X</vt:lpstr>
      <vt:lpstr>AcroCBonus</vt:lpstr>
      <vt:lpstr>AcroCBonusX</vt:lpstr>
      <vt:lpstr>AcroCDD1</vt:lpstr>
      <vt:lpstr>AcroCDD2</vt:lpstr>
      <vt:lpstr>AcroCDD2X</vt:lpstr>
      <vt:lpstr>AcroCDD3</vt:lpstr>
      <vt:lpstr>AcroCDD3X</vt:lpstr>
      <vt:lpstr>AcroCDD4p1</vt:lpstr>
      <vt:lpstr>AcroCDD4p1X</vt:lpstr>
      <vt:lpstr>AcroCDD4p2</vt:lpstr>
      <vt:lpstr>AcroCDD4p2X</vt:lpstr>
      <vt:lpstr>AcroCDD5</vt:lpstr>
      <vt:lpstr>AcroCDD5X</vt:lpstr>
      <vt:lpstr>AcroCDD6</vt:lpstr>
      <vt:lpstr>AcroCDD6X</vt:lpstr>
      <vt:lpstr>AcroPairDD</vt:lpstr>
      <vt:lpstr>AcroPairDDX</vt:lpstr>
      <vt:lpstr>AcroPBonus</vt:lpstr>
      <vt:lpstr>AcroPBonusX</vt:lpstr>
      <vt:lpstr>AcroPDD1</vt:lpstr>
      <vt:lpstr>AcroPDD2</vt:lpstr>
      <vt:lpstr>AcroPDD2X</vt:lpstr>
      <vt:lpstr>AcroPDD3</vt:lpstr>
      <vt:lpstr>AcroPDD3X</vt:lpstr>
      <vt:lpstr>AcroPDD4p1</vt:lpstr>
      <vt:lpstr>AcroPDD4p1X</vt:lpstr>
      <vt:lpstr>AcroPDD4p2</vt:lpstr>
      <vt:lpstr>AcroPDD4p2X</vt:lpstr>
      <vt:lpstr>AcroPDD5</vt:lpstr>
      <vt:lpstr>AcroPDD5X</vt:lpstr>
      <vt:lpstr>BonusDD</vt:lpstr>
      <vt:lpstr>BonusDD2</vt:lpstr>
      <vt:lpstr>BonusDD2X</vt:lpstr>
      <vt:lpstr>BonusDD3</vt:lpstr>
      <vt:lpstr>BonusDD3X</vt:lpstr>
      <vt:lpstr>BonusDD4</vt:lpstr>
      <vt:lpstr>BonusDD4X</vt:lpstr>
      <vt:lpstr>BonusDDX</vt:lpstr>
      <vt:lpstr>HybridDD</vt:lpstr>
      <vt:lpstr>HybridDDX</vt:lpstr>
      <vt:lpstr>'Coach Card'!Print_Area</vt:lpstr>
      <vt:lpstr>Print!Print_Area</vt:lpstr>
      <vt:lpstr>TreDD</vt:lpstr>
      <vt:lpstr>TreDDX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Röhss</dc:creator>
  <cp:lastModifiedBy>Carmen</cp:lastModifiedBy>
  <cp:lastPrinted>2024-01-21T15:59:12Z</cp:lastPrinted>
  <dcterms:created xsi:type="dcterms:W3CDTF">2022-07-23T14:14:56Z</dcterms:created>
  <dcterms:modified xsi:type="dcterms:W3CDTF">2024-01-21T16:16:27Z</dcterms:modified>
</cp:coreProperties>
</file>